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GoogleDrive-112874514025142096599/Drive partagés/1 - LBAI - Académie/"/>
    </mc:Choice>
  </mc:AlternateContent>
  <xr:revisionPtr revIDLastSave="0" documentId="8_{3157753F-304D-F04B-893D-2AB4573E9319}" xr6:coauthVersionLast="47" xr6:coauthVersionMax="47" xr10:uidLastSave="{00000000-0000-0000-0000-000000000000}"/>
  <workbookProtection workbookAlgorithmName="SHA-512" workbookHashValue="I90MEXTpWyOM6ZkHChxhYeCHt+9ZopOf68KI1h9W9mddIJYNSywYq7Ob6Q7dZo7kz1UcaU9r8kAhvcOQZ2nTVA==" workbookSaltValue="ya0/aWiYbVMGzl2WkmE03A==" workbookSpinCount="100000" lockStructure="1"/>
  <bookViews>
    <workbookView xWindow="0" yWindow="500" windowWidth="23260" windowHeight="12460" xr2:uid="{9D45C5DF-9640-4573-8C48-19644C5195EE}"/>
  </bookViews>
  <sheets>
    <sheet name="Simulateur" sheetId="3" r:id="rId1"/>
    <sheet name="PARAM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8" i="3" l="1"/>
  <c r="L118" i="3"/>
  <c r="I118" i="3"/>
  <c r="I68" i="3"/>
  <c r="K33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E6" i="4"/>
  <c r="AD6" i="4"/>
  <c r="AC6" i="4"/>
  <c r="AE5" i="4"/>
  <c r="AD5" i="4"/>
  <c r="AC5" i="4"/>
  <c r="J59" i="3"/>
  <c r="N57" i="3"/>
  <c r="K42" i="3"/>
  <c r="K38" i="3"/>
  <c r="K51" i="3"/>
  <c r="R59" i="3"/>
  <c r="Q130" i="3"/>
  <c r="O113" i="3" l="1"/>
  <c r="L113" i="3"/>
  <c r="I113" i="3"/>
  <c r="Q153" i="3"/>
  <c r="Q133" i="3"/>
  <c r="Q115" i="3" s="1"/>
  <c r="Q150" i="3"/>
  <c r="M159" i="3"/>
  <c r="M156" i="3"/>
  <c r="M154" i="3"/>
  <c r="M151" i="3"/>
  <c r="M150" i="3"/>
  <c r="R139" i="3"/>
  <c r="R159" i="3" s="1"/>
  <c r="R136" i="3"/>
  <c r="R156" i="3" s="1"/>
  <c r="R133" i="3"/>
  <c r="R153" i="3" s="1"/>
  <c r="R130" i="3"/>
  <c r="R150" i="3" s="1"/>
  <c r="R128" i="3"/>
  <c r="Q49" i="3"/>
  <c r="M141" i="3" s="1"/>
  <c r="P43" i="3"/>
  <c r="O43" i="3"/>
  <c r="N43" i="3"/>
  <c r="P42" i="3"/>
  <c r="P51" i="3" s="1"/>
  <c r="P53" i="3" s="1"/>
  <c r="O42" i="3"/>
  <c r="O51" i="3" s="1"/>
  <c r="O53" i="3" s="1"/>
  <c r="N42" i="3"/>
  <c r="N51" i="3" s="1"/>
  <c r="N52" i="3" s="1"/>
  <c r="M42" i="3"/>
  <c r="M51" i="3" s="1"/>
  <c r="L42" i="3"/>
  <c r="L51" i="3" s="1"/>
  <c r="R115" i="3" l="1"/>
  <c r="R118" i="3"/>
  <c r="Q118" i="3"/>
  <c r="K35" i="4" s="1"/>
  <c r="M43" i="3"/>
  <c r="Q51" i="3"/>
  <c r="H88" i="3" s="1"/>
  <c r="L43" i="3"/>
  <c r="L52" i="3"/>
  <c r="L53" i="3" s="1"/>
  <c r="P52" i="3"/>
  <c r="M52" i="3"/>
  <c r="M53" i="3" s="1"/>
  <c r="O52" i="3"/>
  <c r="N53" i="3"/>
  <c r="M38" i="4" l="1"/>
  <c r="U9" i="4"/>
  <c r="N83" i="3"/>
  <c r="I83" i="3"/>
  <c r="O68" i="3"/>
  <c r="I67" i="3"/>
  <c r="M57" i="3"/>
  <c r="Q59" i="3" s="1"/>
  <c r="O122" i="3"/>
  <c r="M26" i="4" s="1"/>
  <c r="L122" i="3"/>
  <c r="M25" i="4" s="1"/>
  <c r="I122" i="3"/>
  <c r="M24" i="4" s="1"/>
  <c r="Q53" i="3"/>
  <c r="Q139" i="3" l="1"/>
  <c r="Q159" i="3" s="1"/>
  <c r="Q148" i="3"/>
  <c r="U2" i="4"/>
  <c r="X7" i="4" s="1"/>
  <c r="X9" i="4" s="1"/>
  <c r="U3" i="4"/>
  <c r="Y7" i="4" s="1"/>
  <c r="Y9" i="4" s="1"/>
  <c r="Q136" i="3"/>
  <c r="Q156" i="3" s="1"/>
  <c r="Q128" i="3"/>
  <c r="Q119" i="3" l="1"/>
  <c r="Q162" i="3"/>
  <c r="R123" i="3" s="1"/>
  <c r="R119" i="3"/>
  <c r="Q144" i="3"/>
  <c r="R122" i="3" s="1"/>
  <c r="M27" i="4" l="1"/>
  <c r="M29" i="4" l="1"/>
  <c r="K27" i="4" s="1"/>
  <c r="J105" i="3" s="1"/>
  <c r="K26" i="4" l="1"/>
  <c r="N106" i="3" s="1"/>
  <c r="K25" i="4"/>
  <c r="K106" i="3" s="1"/>
  <c r="K24" i="4"/>
  <c r="Q106" i="3"/>
  <c r="J102" i="3"/>
  <c r="H106" i="3" l="1"/>
  <c r="O30" i="4"/>
  <c r="J104" i="3" s="1"/>
  <c r="J100" i="3"/>
</calcChain>
</file>

<file path=xl/sharedStrings.xml><?xml version="1.0" encoding="utf-8"?>
<sst xmlns="http://schemas.openxmlformats.org/spreadsheetml/2006/main" count="133" uniqueCount="118">
  <si>
    <t>Statut</t>
  </si>
  <si>
    <t>Micro</t>
  </si>
  <si>
    <t>Société</t>
  </si>
  <si>
    <t>Taux hébergement</t>
  </si>
  <si>
    <t>ou</t>
  </si>
  <si>
    <t>Choix</t>
  </si>
  <si>
    <t>Oui</t>
  </si>
  <si>
    <t>Non</t>
  </si>
  <si>
    <t>MODE D'EMPLOI</t>
  </si>
  <si>
    <t xml:space="preserve">Ce montant est utilisé pour valoriser votre temps de travail… </t>
  </si>
  <si>
    <t>Votre temps de gestion administrative est du temps durant lequel vous ne vendez pas de formation.</t>
  </si>
  <si>
    <t>FORMATION 1</t>
  </si>
  <si>
    <t>FORMATION 2</t>
  </si>
  <si>
    <t>FORMATION 3</t>
  </si>
  <si>
    <t>FORMATION 4</t>
  </si>
  <si>
    <t>FORMATION 5</t>
  </si>
  <si>
    <t>Intitulé de la formation</t>
  </si>
  <si>
    <t>Initiation office 360</t>
  </si>
  <si>
    <t>Perfectionnement excel</t>
  </si>
  <si>
    <t>Durée de la formation (en jours)</t>
  </si>
  <si>
    <t>Nombre de stagiaires attendus pour une session</t>
  </si>
  <si>
    <t>Prix de vente moyen par jour et par stagiaire</t>
  </si>
  <si>
    <t>Taux TVA</t>
  </si>
  <si>
    <t xml:space="preserve">CHIFFRE D'AFFAIRES ANNUEL TTC </t>
  </si>
  <si>
    <t>TOTAL</t>
  </si>
  <si>
    <t>CE QUE VOUS COÛTE</t>
  </si>
  <si>
    <t>réellement</t>
  </si>
  <si>
    <t>QUALIOPI</t>
  </si>
  <si>
    <t>La première année :</t>
  </si>
  <si>
    <t>Préparation de la certification (env 20 jr)</t>
  </si>
  <si>
    <t>Outil de gestion de la formation</t>
  </si>
  <si>
    <t xml:space="preserve"> (non obligatoire mais fortement recommandé au regard de la règlementation très exigeante)</t>
  </si>
  <si>
    <t>Audit de certification</t>
  </si>
  <si>
    <t>Veille pédagogique et règlementaire (1jr/mois)</t>
  </si>
  <si>
    <t>Nb mois/an</t>
  </si>
  <si>
    <t>Nb heures travaillées par jour</t>
  </si>
  <si>
    <t xml:space="preserve"> &gt; Volume moyen de 3h de temps administratif par session</t>
  </si>
  <si>
    <t>COÛT TOTAL ANNUEL CERTIFICATION</t>
  </si>
  <si>
    <t>FORMATEURS OCCASIONNELS</t>
  </si>
  <si>
    <t>CONSULTANTS, COACH, FORMATEURS</t>
  </si>
  <si>
    <t>FORMATEURS EXCLUSIFS</t>
  </si>
  <si>
    <t>Forfait annuel HT</t>
  </si>
  <si>
    <t>COÛT ANNUEL HEBERGEMENT</t>
  </si>
  <si>
    <t>Plafond TVA Micro</t>
  </si>
  <si>
    <t>Plafond CA Presta Micro</t>
  </si>
  <si>
    <t>Audit de contrôle</t>
  </si>
  <si>
    <t>Verif palier coût heberg par formule</t>
  </si>
  <si>
    <t>La deuxième année :</t>
  </si>
  <si>
    <t>Le TJM obtenu à partir de votre catalogue de formation :</t>
  </si>
  <si>
    <t>Montant retenu :</t>
  </si>
  <si>
    <t>Pour résumer, votre chiffre d'affaire se compose de :</t>
  </si>
  <si>
    <r>
      <t xml:space="preserve">Votre CHIFFRE D'AFFAIRES </t>
    </r>
    <r>
      <rPr>
        <b/>
        <sz val="18"/>
        <color theme="0"/>
        <rFont val="Century Gothic"/>
        <family val="2"/>
      </rPr>
      <t>TOTAL</t>
    </r>
    <r>
      <rPr>
        <b/>
        <sz val="10"/>
        <color theme="0"/>
        <rFont val="Century Gothic"/>
        <family val="2"/>
      </rPr>
      <t xml:space="preserve"> est estimé à :</t>
    </r>
  </si>
  <si>
    <t>CA</t>
  </si>
  <si>
    <t>Plafond</t>
  </si>
  <si>
    <t>Valeur</t>
  </si>
  <si>
    <t>TVA</t>
  </si>
  <si>
    <t>Alerte</t>
  </si>
  <si>
    <t>Critique</t>
  </si>
  <si>
    <t>Vide</t>
  </si>
  <si>
    <t>Valeur indic</t>
  </si>
  <si>
    <t>Largeur indic</t>
  </si>
  <si>
    <t>Reste</t>
  </si>
  <si>
    <t>Préparation à l'audit de certification (env 3 jr)</t>
  </si>
  <si>
    <t>L'hébergement de La Boîte à Indés, le choix de la tranquilité</t>
  </si>
  <si>
    <t>ORGANISMES DE FORMATION</t>
  </si>
  <si>
    <t>Commission sur CA formation</t>
  </si>
  <si>
    <t xml:space="preserve"> +</t>
  </si>
  <si>
    <t>Forfait</t>
  </si>
  <si>
    <t>Des formules adaptées à VOTRE activité</t>
  </si>
  <si>
    <t>Obtenir une certification</t>
  </si>
  <si>
    <t>COÛT ANNUEL CERTIFICATION</t>
  </si>
  <si>
    <t>Année 1 :</t>
  </si>
  <si>
    <t>Année 2 :</t>
  </si>
  <si>
    <t>[Détail ci-dessous]</t>
  </si>
  <si>
    <t>Formule à choisir :</t>
  </si>
  <si>
    <t>Vous êtes un</t>
  </si>
  <si>
    <t xml:space="preserve"> &gt; Coûts réels</t>
  </si>
  <si>
    <t xml:space="preserve"> &gt; Coûts cachés (= votre temps)</t>
  </si>
  <si>
    <t>Seuil déclenchement organisme formation</t>
  </si>
  <si>
    <t xml:space="preserve">La Boîte à indés serait ravi de vous accueillir parmi ses formateurs. Nous vous invitons à contacter David à l'adresse david@laboite-a-indes.fr </t>
  </si>
  <si>
    <t>CA formation</t>
  </si>
  <si>
    <t>Renseignez les informations concernant votre entreprise.</t>
  </si>
  <si>
    <t>Donnez une vision exhaustive des formations que vous dispensez. Si vous possédez plus de 5 formations, effectuez des regroupements par prix de vente, durée ou nombre de stagiaire.</t>
  </si>
  <si>
    <t>Estimez le nombre de formations que vous pensez dispenser sur une année. Vous pourrez revenir sur ces chiffres pour ajuster les conclusions de la simulation si nécessaire.</t>
  </si>
  <si>
    <t>Le catalogue de formation que vous avez renseignés nous a permis de déduire le TJM ci-contre. Vous êtes libre de l'ajuster si nécessaire.</t>
  </si>
  <si>
    <t>Nombre de sessions prévues par an</t>
  </si>
  <si>
    <t>TJM corrigé :</t>
  </si>
  <si>
    <t>Devenir un organisme de formation est un choix stratégique qui vous mènera à GERER de la formation en plus de la DISPENSER. Cette solution vous demandera de mobiliser du temps pour aller chercher la certification et la maintenir. Nous avons estimé ce temps à</t>
  </si>
  <si>
    <t>Vous n'avez plus qu'à lire les conclusions de la simulation, en espérant que ces informations vous aideront à mieux aborder votre activité de formateur.
N'hésitez pas à ajuster les informations renseignées pour approfondir l'analyse.</t>
  </si>
  <si>
    <t>NOTA BENE :</t>
  </si>
  <si>
    <t>En plus de dispenser des formations, en devenant organisme de formation vous devrez prendre en charge la gestion administrative de vos formations. Nous avons estimés ce temps à 3h de temps par session.</t>
  </si>
  <si>
    <t>La Boîte à indés vous apporte la tranquilité d'une gestion administrative totalement déléguée.</t>
  </si>
  <si>
    <t>Estimez votre chiffre d'affaires de façon approximative pour améliorer la pertinence de l'analyse.</t>
  </si>
  <si>
    <t>Statut juriduque - Êtes-vous une personne physique ou une personne morale (EI ou société) ?</t>
  </si>
  <si>
    <t>EI</t>
  </si>
  <si>
    <t>formations</t>
  </si>
  <si>
    <t>prévisionnelle de formateur</t>
  </si>
  <si>
    <t>Étape 1 : Votre entreprise</t>
  </si>
  <si>
    <t xml:space="preserve">Étape 2 : Votre catalogue de </t>
  </si>
  <si>
    <t>Étape 2 : Votre catalogue de formations</t>
  </si>
  <si>
    <t>Étape 3 : Votre activité</t>
  </si>
  <si>
    <t>Étape 3 : Votre activité prévisionnelle de formateur</t>
  </si>
  <si>
    <t>Étape BONUS</t>
  </si>
  <si>
    <t>Étape BONUS : Les petits conseils de La Boîte à Indés</t>
  </si>
  <si>
    <t>Êtes-vous assujetti-e à la TVA ?</t>
  </si>
  <si>
    <t>Quelle est votre volume prévisionnel de chiffre d'affaires annuel HORS formation ?</t>
  </si>
  <si>
    <t>Étape 4 : Votre Taux Journalier Moyen (TJM)</t>
  </si>
  <si>
    <t>Étape 4 : Votre Taux journalier</t>
  </si>
  <si>
    <t>Moyen (TJM)</t>
  </si>
  <si>
    <t>En tant que micro-entrepreneur, le seuil de TVA et de CA sont des indicateurs à surveiller, ils peuvent rapidement être dépassés avec un levier comme celui de la formation, surveillez-les au regard de vos prévisions.</t>
  </si>
  <si>
    <t>FORMATEUR OCCASIONNEL</t>
  </si>
  <si>
    <t>CONSULTANT, COACH, FORMATEUR</t>
  </si>
  <si>
    <t>FORMATEUR EXCLUSIF</t>
  </si>
  <si>
    <t>ORGANISME DE FORMATION</t>
  </si>
  <si>
    <t xml:space="preserve"> (à réaliser tous les 18 mois, prix moyen constaté auprès d'une vingtaine d'organismes certificateurs)</t>
  </si>
  <si>
    <t>Gestion administrative de vos sessions de formation</t>
  </si>
  <si>
    <t>Coût de la formule à choisir :</t>
  </si>
  <si>
    <t>Ce simulateur a été construit en collaboration avec la société DECISIO - PARLONS GESTION, créateur d'outils de gestion sur-mesure.
Ce document est la propriété de LA BOÎTE À INDÉS, il ne peut être diffusé ou reproduit sans son autorisation écrite. Toutes reproductions partielles ou complètes pourraient entraîner des poursuites.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</si>
</sst>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#,##0.0&quot; jrs&quot;"/>
    <numFmt numFmtId="166" formatCode="#,##0\ &quot;€&quot;;\-#,##0\ &quot;€&quot;;&quot;&quot;"/>
    <numFmt numFmtId="167" formatCode="#,##0\ &quot;€ HT/an&quot;"/>
    <numFmt numFmtId="168" formatCode="#,##0&quot; jrs&quot;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rgb="FFE0CA25"/>
      <name val="Century Gothic"/>
      <family val="2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rgb="FFE0CA25"/>
      <name val="Century Gothic"/>
      <family val="2"/>
    </font>
    <font>
      <sz val="8"/>
      <name val="Calibri"/>
      <family val="2"/>
      <scheme val="minor"/>
    </font>
    <font>
      <sz val="9"/>
      <color theme="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Abadi"/>
      <family val="2"/>
    </font>
    <font>
      <b/>
      <sz val="20"/>
      <color theme="0"/>
      <name val="Abadi"/>
      <family val="2"/>
    </font>
    <font>
      <sz val="48"/>
      <color rgb="FFE0CA25"/>
      <name val="Freestyle Script"/>
      <family val="4"/>
    </font>
    <font>
      <sz val="8"/>
      <color theme="0"/>
      <name val="Century Gothic"/>
      <family val="2"/>
    </font>
    <font>
      <sz val="8"/>
      <color rgb="FFE0CA25"/>
      <name val="Century Gothic"/>
      <family val="2"/>
    </font>
    <font>
      <b/>
      <sz val="12"/>
      <color theme="0"/>
      <name val="Century Gothic"/>
      <family val="2"/>
    </font>
    <font>
      <sz val="72"/>
      <color rgb="FFB11F4C"/>
      <name val="Wingdings 2"/>
      <family val="1"/>
      <charset val="2"/>
    </font>
    <font>
      <b/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8"/>
      <color theme="0"/>
      <name val="Century Gothic"/>
      <family val="2"/>
    </font>
    <font>
      <b/>
      <sz val="18"/>
      <color rgb="FFE0CA25"/>
      <name val="Century Gothic"/>
      <family val="2"/>
    </font>
    <font>
      <i/>
      <sz val="10"/>
      <color theme="0"/>
      <name val="Century Gothic"/>
      <family val="2"/>
    </font>
    <font>
      <b/>
      <sz val="20"/>
      <color theme="0"/>
      <name val="Century Gothic"/>
      <family val="2"/>
    </font>
    <font>
      <sz val="14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rgb="FFE0CA25"/>
      <name val="Century Gothic"/>
      <family val="2"/>
    </font>
    <font>
      <sz val="36"/>
      <color rgb="FFC52253"/>
      <name val="Wingdings"/>
      <charset val="2"/>
    </font>
    <font>
      <sz val="36"/>
      <color rgb="FFC5225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C52253"/>
        <bgColor indexed="64"/>
      </patternFill>
    </fill>
    <fill>
      <patternFill patternType="solid">
        <fgColor rgb="FFE0CA25"/>
        <bgColor indexed="64"/>
      </patternFill>
    </fill>
    <fill>
      <patternFill patternType="solid">
        <fgColor rgb="FF006C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ck">
        <color rgb="FFE0CA25"/>
      </top>
      <bottom/>
      <diagonal/>
    </border>
    <border>
      <left/>
      <right/>
      <top style="thin">
        <color rgb="FFE0CA25"/>
      </top>
      <bottom/>
      <diagonal/>
    </border>
    <border>
      <left/>
      <right/>
      <top/>
      <bottom style="thin">
        <color rgb="FFE0CA25"/>
      </bottom>
      <diagonal/>
    </border>
    <border>
      <left style="thin">
        <color rgb="FFE0CA2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E0CA25"/>
      </right>
      <top/>
      <bottom/>
      <diagonal/>
    </border>
    <border>
      <left/>
      <right/>
      <top/>
      <bottom style="medium">
        <color rgb="FFE0CA25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0" fontId="4" fillId="4" borderId="0" xfId="0" applyFont="1" applyFill="1" applyAlignment="1">
      <alignment horizontal="left" indent="1"/>
    </xf>
    <xf numFmtId="0" fontId="3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indent="1"/>
    </xf>
    <xf numFmtId="9" fontId="5" fillId="0" borderId="1" xfId="0" applyNumberFormat="1" applyFont="1" applyBorder="1"/>
    <xf numFmtId="0" fontId="11" fillId="4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 indent="1"/>
    </xf>
    <xf numFmtId="9" fontId="4" fillId="2" borderId="0" xfId="1" applyFont="1" applyFill="1" applyBorder="1" applyAlignment="1">
      <alignment horizontal="center"/>
    </xf>
    <xf numFmtId="0" fontId="11" fillId="2" borderId="0" xfId="0" applyFont="1" applyFill="1" applyAlignment="1">
      <alignment horizontal="right" indent="1"/>
    </xf>
    <xf numFmtId="166" fontId="11" fillId="2" borderId="0" xfId="0" applyNumberFormat="1" applyFont="1" applyFill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6" fillId="4" borderId="0" xfId="0" applyFont="1" applyFill="1" applyAlignment="1">
      <alignment horizontal="right"/>
    </xf>
    <xf numFmtId="4" fontId="5" fillId="0" borderId="1" xfId="0" applyNumberFormat="1" applyFont="1" applyBorder="1"/>
    <xf numFmtId="164" fontId="1" fillId="0" borderId="0" xfId="0" applyNumberFormat="1" applyFont="1"/>
    <xf numFmtId="0" fontId="1" fillId="4" borderId="17" xfId="0" applyFont="1" applyFill="1" applyBorder="1"/>
    <xf numFmtId="0" fontId="4" fillId="3" borderId="0" xfId="0" applyFont="1" applyFill="1"/>
    <xf numFmtId="0" fontId="11" fillId="2" borderId="0" xfId="0" applyFont="1" applyFill="1" applyAlignment="1">
      <alignment horizontal="left" indent="1"/>
    </xf>
    <xf numFmtId="0" fontId="17" fillId="3" borderId="17" xfId="0" applyFont="1" applyFill="1" applyBorder="1" applyAlignment="1">
      <alignment horizontal="left" indent="1"/>
    </xf>
    <xf numFmtId="0" fontId="4" fillId="4" borderId="17" xfId="0" applyFont="1" applyFill="1" applyBorder="1" applyAlignment="1">
      <alignment horizontal="left" indent="3"/>
    </xf>
    <xf numFmtId="0" fontId="1" fillId="4" borderId="17" xfId="0" applyFont="1" applyFill="1" applyBorder="1" applyAlignment="1">
      <alignment horizontal="left" indent="2"/>
    </xf>
    <xf numFmtId="0" fontId="16" fillId="4" borderId="17" xfId="0" applyFont="1" applyFill="1" applyBorder="1" applyAlignment="1">
      <alignment horizontal="left" indent="3"/>
    </xf>
    <xf numFmtId="0" fontId="15" fillId="4" borderId="17" xfId="0" applyFont="1" applyFill="1" applyBorder="1" applyAlignment="1">
      <alignment horizontal="left" indent="3"/>
    </xf>
    <xf numFmtId="0" fontId="15" fillId="4" borderId="17" xfId="0" applyFont="1" applyFill="1" applyBorder="1" applyAlignment="1">
      <alignment horizontal="left" indent="4"/>
    </xf>
    <xf numFmtId="0" fontId="1" fillId="3" borderId="0" xfId="0" applyFont="1" applyFill="1"/>
    <xf numFmtId="166" fontId="11" fillId="4" borderId="0" xfId="0" applyNumberFormat="1" applyFont="1" applyFill="1" applyAlignment="1">
      <alignment horizontal="center"/>
    </xf>
    <xf numFmtId="166" fontId="4" fillId="4" borderId="0" xfId="0" applyNumberFormat="1" applyFont="1" applyFill="1"/>
    <xf numFmtId="0" fontId="5" fillId="0" borderId="18" xfId="0" applyFont="1" applyBorder="1"/>
    <xf numFmtId="9" fontId="5" fillId="0" borderId="19" xfId="0" applyNumberFormat="1" applyFont="1" applyBorder="1"/>
    <xf numFmtId="0" fontId="5" fillId="0" borderId="20" xfId="0" applyFont="1" applyBorder="1"/>
    <xf numFmtId="0" fontId="5" fillId="0" borderId="21" xfId="0" applyFont="1" applyBorder="1"/>
    <xf numFmtId="9" fontId="5" fillId="0" borderId="0" xfId="0" applyNumberFormat="1" applyFont="1"/>
    <xf numFmtId="0" fontId="5" fillId="0" borderId="4" xfId="0" applyFont="1" applyBorder="1"/>
    <xf numFmtId="0" fontId="5" fillId="0" borderId="22" xfId="0" applyFont="1" applyBorder="1"/>
    <xf numFmtId="9" fontId="5" fillId="0" borderId="23" xfId="0" applyNumberFormat="1" applyFont="1" applyBorder="1"/>
    <xf numFmtId="0" fontId="5" fillId="0" borderId="24" xfId="0" applyFont="1" applyBorder="1"/>
    <xf numFmtId="3" fontId="19" fillId="0" borderId="0" xfId="0" applyNumberFormat="1" applyFont="1" applyAlignment="1">
      <alignment horizontal="right" indent="1"/>
    </xf>
    <xf numFmtId="0" fontId="19" fillId="0" borderId="0" xfId="0" applyFont="1"/>
    <xf numFmtId="9" fontId="19" fillId="0" borderId="0" xfId="0" applyNumberFormat="1" applyFont="1" applyAlignment="1">
      <alignment horizontal="center"/>
    </xf>
    <xf numFmtId="3" fontId="1" fillId="6" borderId="18" xfId="0" applyNumberFormat="1" applyFont="1" applyFill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6" borderId="21" xfId="0" applyNumberFormat="1" applyFont="1" applyFill="1" applyBorder="1"/>
    <xf numFmtId="3" fontId="1" fillId="0" borderId="0" xfId="0" applyNumberFormat="1" applyFont="1"/>
    <xf numFmtId="3" fontId="1" fillId="0" borderId="4" xfId="0" applyNumberFormat="1" applyFont="1" applyBorder="1"/>
    <xf numFmtId="3" fontId="1" fillId="6" borderId="0" xfId="0" applyNumberFormat="1" applyFont="1" applyFill="1"/>
    <xf numFmtId="3" fontId="1" fillId="0" borderId="21" xfId="0" applyNumberFormat="1" applyFont="1" applyBorder="1"/>
    <xf numFmtId="3" fontId="1" fillId="6" borderId="4" xfId="0" applyNumberFormat="1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6" borderId="24" xfId="0" applyNumberFormat="1" applyFont="1" applyFill="1" applyBorder="1"/>
    <xf numFmtId="0" fontId="11" fillId="2" borderId="0" xfId="0" applyFont="1" applyFill="1" applyAlignment="1">
      <alignment horizontal="right"/>
    </xf>
    <xf numFmtId="0" fontId="4" fillId="4" borderId="0" xfId="0" applyFont="1" applyFill="1" applyAlignment="1">
      <alignment horizontal="left" indent="3"/>
    </xf>
    <xf numFmtId="0" fontId="4" fillId="4" borderId="0" xfId="0" applyFont="1" applyFill="1" applyAlignment="1">
      <alignment horizontal="left" indent="2"/>
    </xf>
    <xf numFmtId="3" fontId="5" fillId="0" borderId="0" xfId="0" applyNumberFormat="1" applyFont="1"/>
    <xf numFmtId="0" fontId="7" fillId="4" borderId="0" xfId="0" applyFont="1" applyFill="1" applyAlignment="1">
      <alignment horizontal="center" vertical="center"/>
    </xf>
    <xf numFmtId="9" fontId="5" fillId="0" borderId="0" xfId="1" applyFont="1"/>
    <xf numFmtId="0" fontId="18" fillId="4" borderId="0" xfId="0" applyFont="1" applyFill="1" applyAlignment="1">
      <alignment vertical="center"/>
    </xf>
    <xf numFmtId="0" fontId="22" fillId="4" borderId="0" xfId="0" applyFont="1" applyFill="1"/>
    <xf numFmtId="0" fontId="1" fillId="4" borderId="25" xfId="0" applyFont="1" applyFill="1" applyBorder="1"/>
    <xf numFmtId="0" fontId="3" fillId="4" borderId="17" xfId="0" applyFont="1" applyFill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/>
    <xf numFmtId="0" fontId="1" fillId="2" borderId="17" xfId="0" applyFont="1" applyFill="1" applyBorder="1"/>
    <xf numFmtId="166" fontId="11" fillId="2" borderId="25" xfId="0" applyNumberFormat="1" applyFont="1" applyFill="1" applyBorder="1" applyAlignment="1">
      <alignment horizontal="center"/>
    </xf>
    <xf numFmtId="9" fontId="11" fillId="4" borderId="25" xfId="0" applyNumberFormat="1" applyFont="1" applyFill="1" applyBorder="1" applyAlignment="1">
      <alignment horizontal="center"/>
    </xf>
    <xf numFmtId="0" fontId="11" fillId="2" borderId="17" xfId="0" applyFont="1" applyFill="1" applyBorder="1"/>
    <xf numFmtId="0" fontId="15" fillId="2" borderId="17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left" wrapText="1"/>
    </xf>
    <xf numFmtId="0" fontId="23" fillId="4" borderId="0" xfId="0" applyFont="1" applyFill="1" applyAlignment="1">
      <alignment horizontal="left" indent="4"/>
    </xf>
    <xf numFmtId="0" fontId="20" fillId="4" borderId="0" xfId="0" applyFont="1" applyFill="1" applyAlignment="1">
      <alignment horizontal="center" vertical="center"/>
    </xf>
    <xf numFmtId="0" fontId="9" fillId="4" borderId="17" xfId="0" applyFont="1" applyFill="1" applyBorder="1" applyAlignment="1">
      <alignment wrapText="1"/>
    </xf>
    <xf numFmtId="0" fontId="9" fillId="4" borderId="25" xfId="0" applyFont="1" applyFill="1" applyBorder="1" applyAlignment="1">
      <alignment wrapText="1"/>
    </xf>
    <xf numFmtId="0" fontId="9" fillId="4" borderId="17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26" fillId="4" borderId="17" xfId="0" applyFont="1" applyFill="1" applyBorder="1" applyAlignment="1">
      <alignment horizontal="center" wrapText="1"/>
    </xf>
    <xf numFmtId="0" fontId="26" fillId="4" borderId="25" xfId="0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left"/>
    </xf>
    <xf numFmtId="168" fontId="26" fillId="4" borderId="17" xfId="0" applyNumberFormat="1" applyFont="1" applyFill="1" applyBorder="1" applyAlignment="1">
      <alignment horizontal="center" wrapText="1"/>
    </xf>
    <xf numFmtId="168" fontId="26" fillId="4" borderId="25" xfId="0" applyNumberFormat="1" applyFont="1" applyFill="1" applyBorder="1" applyAlignment="1">
      <alignment horizontal="center" wrapText="1"/>
    </xf>
    <xf numFmtId="166" fontId="26" fillId="4" borderId="17" xfId="0" applyNumberFormat="1" applyFont="1" applyFill="1" applyBorder="1" applyAlignment="1">
      <alignment horizontal="center" wrapText="1"/>
    </xf>
    <xf numFmtId="166" fontId="26" fillId="4" borderId="25" xfId="0" applyNumberFormat="1" applyFont="1" applyFill="1" applyBorder="1" applyAlignment="1">
      <alignment horizontal="center" wrapText="1"/>
    </xf>
    <xf numFmtId="0" fontId="29" fillId="4" borderId="0" xfId="0" applyFont="1" applyFill="1"/>
    <xf numFmtId="0" fontId="24" fillId="2" borderId="0" xfId="0" applyFont="1" applyFill="1" applyAlignment="1">
      <alignment horizontal="left" vertical="center" indent="1"/>
    </xf>
    <xf numFmtId="0" fontId="25" fillId="4" borderId="0" xfId="0" applyFont="1" applyFill="1" applyAlignment="1">
      <alignment horizontal="right" vertical="center" indent="1"/>
    </xf>
    <xf numFmtId="0" fontId="27" fillId="4" borderId="0" xfId="0" applyFont="1" applyFill="1" applyAlignment="1">
      <alignment vertical="center" wrapText="1"/>
    </xf>
    <xf numFmtId="0" fontId="1" fillId="5" borderId="1" xfId="0" applyFont="1" applyFill="1" applyBorder="1" applyAlignment="1" applyProtection="1">
      <alignment horizontal="center"/>
      <protection locked="0"/>
    </xf>
    <xf numFmtId="166" fontId="1" fillId="5" borderId="1" xfId="0" applyNumberFormat="1" applyFont="1" applyFill="1" applyBorder="1" applyAlignment="1" applyProtection="1">
      <alignment horizontal="center"/>
      <protection locked="0"/>
    </xf>
    <xf numFmtId="164" fontId="1" fillId="5" borderId="8" xfId="0" applyNumberFormat="1" applyFont="1" applyFill="1" applyBorder="1" applyAlignment="1" applyProtection="1">
      <alignment horizontal="center"/>
      <protection locked="0"/>
    </xf>
    <xf numFmtId="164" fontId="1" fillId="5" borderId="9" xfId="0" applyNumberFormat="1" applyFont="1" applyFill="1" applyBorder="1" applyAlignment="1" applyProtection="1">
      <alignment horizontal="center"/>
      <protection locked="0"/>
    </xf>
    <xf numFmtId="164" fontId="1" fillId="5" borderId="10" xfId="0" applyNumberFormat="1" applyFont="1" applyFill="1" applyBorder="1" applyAlignment="1" applyProtection="1">
      <alignment horizontal="center"/>
      <protection locked="0"/>
    </xf>
    <xf numFmtId="165" fontId="1" fillId="5" borderId="8" xfId="0" applyNumberFormat="1" applyFont="1" applyFill="1" applyBorder="1" applyAlignment="1" applyProtection="1">
      <alignment horizontal="center"/>
      <protection locked="0"/>
    </xf>
    <xf numFmtId="165" fontId="1" fillId="5" borderId="9" xfId="0" applyNumberFormat="1" applyFont="1" applyFill="1" applyBorder="1" applyAlignment="1" applyProtection="1">
      <alignment horizontal="center"/>
      <protection locked="0"/>
    </xf>
    <xf numFmtId="165" fontId="1" fillId="5" borderId="10" xfId="0" applyNumberFormat="1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4" fontId="5" fillId="0" borderId="0" xfId="0" applyNumberFormat="1" applyFont="1"/>
    <xf numFmtId="166" fontId="1" fillId="0" borderId="0" xfId="0" applyNumberFormat="1" applyFont="1"/>
    <xf numFmtId="0" fontId="1" fillId="4" borderId="26" xfId="0" applyFont="1" applyFill="1" applyBorder="1"/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66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wrapText="1"/>
    </xf>
    <xf numFmtId="0" fontId="27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vertical="center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right" vertical="center" indent="1"/>
    </xf>
    <xf numFmtId="0" fontId="4" fillId="4" borderId="4" xfId="0" applyFont="1" applyFill="1" applyBorder="1" applyAlignment="1">
      <alignment horizontal="right" vertical="center" indent="1"/>
    </xf>
    <xf numFmtId="0" fontId="12" fillId="3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 vertical="center" wrapText="1"/>
    </xf>
    <xf numFmtId="167" fontId="11" fillId="4" borderId="25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ont>
        <color rgb="FF006C6D"/>
      </font>
      <fill>
        <patternFill>
          <bgColor rgb="FF006C6D"/>
        </patternFill>
      </fill>
    </dxf>
    <dxf>
      <font>
        <color rgb="FF006C6D"/>
      </font>
      <fill>
        <patternFill>
          <bgColor rgb="FF006C6D"/>
        </patternFill>
      </fill>
    </dxf>
  </dxfs>
  <tableStyles count="0" defaultTableStyle="TableStyleMedium2" defaultPivotStyle="PivotStyleLight16"/>
  <colors>
    <mruColors>
      <color rgb="FFE0CA25"/>
      <color rgb="FFC52253"/>
      <color rgb="FFE8789B"/>
      <color rgb="FFAC9A18"/>
      <color rgb="FFEEE286"/>
      <color rgb="FFB11F4C"/>
      <color rgb="FF006C6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E0CA25"/>
                </a:solidFill>
                <a:latin typeface="+mn-lt"/>
                <a:ea typeface="+mn-ea"/>
                <a:cs typeface="+mn-cs"/>
              </a:defRPr>
            </a:pPr>
            <a:r>
              <a:rPr lang="fr-FR" sz="2000">
                <a:solidFill>
                  <a:srgbClr val="E0CA25"/>
                </a:solidFill>
              </a:rPr>
              <a:t>Atteinte seuil TVA</a:t>
            </a:r>
          </a:p>
        </c:rich>
      </c:tx>
      <c:layout>
        <c:manualLayout>
          <c:xMode val="edge"/>
          <c:yMode val="edge"/>
          <c:x val="0.29039566929133859"/>
          <c:y val="0.5277777777777777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rgbClr val="E0CA25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708333333333336"/>
          <c:y val="4.6296296296296294E-2"/>
          <c:w val="0.54722222222222228"/>
          <c:h val="0.91203703703703709"/>
        </c:manualLayout>
      </c:layout>
      <c:doughnutChart>
        <c:varyColors val="1"/>
        <c:ser>
          <c:idx val="0"/>
          <c:order val="0"/>
          <c:tx>
            <c:v>Tranches</c:v>
          </c:tx>
          <c:spPr>
            <a:solidFill>
              <a:srgbClr val="92D050"/>
            </a:solidFill>
            <a:ln>
              <a:noFill/>
            </a:ln>
          </c:spPr>
          <c:dPt>
            <c:idx val="0"/>
            <c:bubble3D val="0"/>
            <c:spPr>
              <a:solidFill>
                <a:srgbClr val="EEE28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96-4DA8-993D-B3F2EF9F0296}"/>
              </c:ext>
            </c:extLst>
          </c:dPt>
          <c:dPt>
            <c:idx val="1"/>
            <c:bubble3D val="0"/>
            <c:spPr>
              <a:solidFill>
                <a:srgbClr val="E0CA2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96-4DA8-993D-B3F2EF9F0296}"/>
              </c:ext>
            </c:extLst>
          </c:dPt>
          <c:dPt>
            <c:idx val="2"/>
            <c:bubble3D val="0"/>
            <c:spPr>
              <a:solidFill>
                <a:srgbClr val="AC9A1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96-4DA8-993D-B3F2EF9F0296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96-4DA8-993D-B3F2EF9F02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PARAM!$W$1:$W$3</c:f>
              <c:strCache>
                <c:ptCount val="3"/>
                <c:pt idx="1">
                  <c:v>Alerte</c:v>
                </c:pt>
                <c:pt idx="2">
                  <c:v>Critique</c:v>
                </c:pt>
              </c:strCache>
            </c:strRef>
          </c:cat>
          <c:val>
            <c:numRef>
              <c:f>PARAM!$X$1:$X$4</c:f>
              <c:numCache>
                <c:formatCode>General</c:formatCode>
                <c:ptCount val="4"/>
                <c:pt idx="0">
                  <c:v>70</c:v>
                </c:pt>
                <c:pt idx="1">
                  <c:v>20</c:v>
                </c:pt>
                <c:pt idx="2">
                  <c:v>10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96-4DA8-993D-B3F2EF9F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42"/>
      </c:doughnutChart>
      <c:pieChart>
        <c:varyColors val="1"/>
        <c:ser>
          <c:idx val="1"/>
          <c:order val="1"/>
          <c:tx>
            <c:v>Indicateur</c:v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96-4DA8-993D-B3F2EF9F029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96-4DA8-993D-B3F2EF9F0296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96-4DA8-993D-B3F2EF9F0296}"/>
              </c:ext>
            </c:extLst>
          </c:dPt>
          <c:val>
            <c:numRef>
              <c:f>PARAM!$X$7:$X$9</c:f>
              <c:numCache>
                <c:formatCode>General</c:formatCode>
                <c:ptCount val="3"/>
                <c:pt idx="0">
                  <c:v>41.095890410958901</c:v>
                </c:pt>
                <c:pt idx="1">
                  <c:v>2</c:v>
                </c:pt>
                <c:pt idx="2">
                  <c:v>156.9041095890411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796-4DA8-993D-B3F2EF9F0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E8789B"/>
                </a:solidFill>
                <a:latin typeface="+mn-lt"/>
                <a:ea typeface="+mn-ea"/>
                <a:cs typeface="+mn-cs"/>
              </a:defRPr>
            </a:pPr>
            <a:r>
              <a:rPr lang="fr-FR" sz="2000">
                <a:solidFill>
                  <a:srgbClr val="E8789B"/>
                </a:solidFill>
              </a:rPr>
              <a:t>Atteinte seuil CA Micro</a:t>
            </a:r>
          </a:p>
        </c:rich>
      </c:tx>
      <c:layout>
        <c:manualLayout>
          <c:xMode val="edge"/>
          <c:yMode val="edge"/>
          <c:x val="0.22928455818022747"/>
          <c:y val="0.532407407407407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rgbClr val="E8789B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708333333333336"/>
          <c:y val="4.6296296296296294E-2"/>
          <c:w val="0.54722222222222228"/>
          <c:h val="0.91203703703703709"/>
        </c:manualLayout>
      </c:layout>
      <c:doughnutChart>
        <c:varyColors val="1"/>
        <c:ser>
          <c:idx val="0"/>
          <c:order val="0"/>
          <c:tx>
            <c:v>Tranches</c:v>
          </c:tx>
          <c:spPr>
            <a:solidFill>
              <a:srgbClr val="92D050"/>
            </a:solidFill>
            <a:ln>
              <a:noFill/>
            </a:ln>
          </c:spPr>
          <c:dPt>
            <c:idx val="0"/>
            <c:bubble3D val="0"/>
            <c:spPr>
              <a:solidFill>
                <a:srgbClr val="E8789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7C-41A8-8324-60336F8BAF62}"/>
              </c:ext>
            </c:extLst>
          </c:dPt>
          <c:dPt>
            <c:idx val="1"/>
            <c:bubble3D val="0"/>
            <c:spPr>
              <a:solidFill>
                <a:srgbClr val="C5225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7C-41A8-8324-60336F8BAF62}"/>
              </c:ext>
            </c:extLst>
          </c:dPt>
          <c:dPt>
            <c:idx val="2"/>
            <c:bubble3D val="0"/>
            <c:spPr>
              <a:solidFill>
                <a:srgbClr val="B11F4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7C-41A8-8324-60336F8BAF62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7C-41A8-8324-60336F8BAF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PARAM!$W$1:$W$3</c:f>
              <c:strCache>
                <c:ptCount val="3"/>
                <c:pt idx="1">
                  <c:v>Alerte</c:v>
                </c:pt>
                <c:pt idx="2">
                  <c:v>Critique</c:v>
                </c:pt>
              </c:strCache>
            </c:strRef>
          </c:cat>
          <c:val>
            <c:numRef>
              <c:f>PARAM!$X$1:$X$4</c:f>
              <c:numCache>
                <c:formatCode>General</c:formatCode>
                <c:ptCount val="4"/>
                <c:pt idx="0">
                  <c:v>70</c:v>
                </c:pt>
                <c:pt idx="1">
                  <c:v>20</c:v>
                </c:pt>
                <c:pt idx="2">
                  <c:v>10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7C-41A8-8324-60336F8B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42"/>
      </c:doughnutChart>
      <c:pieChart>
        <c:varyColors val="1"/>
        <c:ser>
          <c:idx val="1"/>
          <c:order val="1"/>
          <c:tx>
            <c:v>Indicateur</c:v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E7C-41A8-8324-60336F8BAF6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E7C-41A8-8324-60336F8BAF62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E7C-41A8-8324-60336F8BAF62}"/>
              </c:ext>
            </c:extLst>
          </c:dPt>
          <c:val>
            <c:numRef>
              <c:f>PARAM!$Y$7:$Y$9</c:f>
              <c:numCache>
                <c:formatCode>General</c:formatCode>
                <c:ptCount val="3"/>
                <c:pt idx="0" formatCode="#,##0">
                  <c:v>20.66115702479339</c:v>
                </c:pt>
                <c:pt idx="1">
                  <c:v>2</c:v>
                </c:pt>
                <c:pt idx="2" formatCode="#,##0">
                  <c:v>177.3388429752066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7C-41A8-8324-60336F8B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8.png"/><Relationship Id="rId4" Type="http://schemas.openxmlformats.org/officeDocument/2006/relationships/image" Target="../media/image4.jpeg"/><Relationship Id="rId9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131781</xdr:rowOff>
    </xdr:from>
    <xdr:to>
      <xdr:col>2</xdr:col>
      <xdr:colOff>1021080</xdr:colOff>
      <xdr:row>4</xdr:row>
      <xdr:rowOff>139401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781"/>
          <a:ext cx="2044401" cy="68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777240</xdr:colOff>
      <xdr:row>1</xdr:row>
      <xdr:rowOff>60960</xdr:rowOff>
    </xdr:from>
    <xdr:to>
      <xdr:col>15</xdr:col>
      <xdr:colOff>746759</xdr:colOff>
      <xdr:row>4</xdr:row>
      <xdr:rowOff>22860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360" y="228600"/>
          <a:ext cx="1904999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160020</xdr:rowOff>
    </xdr:from>
    <xdr:to>
      <xdr:col>19</xdr:col>
      <xdr:colOff>0</xdr:colOff>
      <xdr:row>19</xdr:row>
      <xdr:rowOff>90968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alphaModFix am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89" b="53749"/>
        <a:stretch/>
      </xdr:blipFill>
      <xdr:spPr bwMode="auto">
        <a:xfrm>
          <a:off x="0" y="998220"/>
          <a:ext cx="14142720" cy="2308388"/>
        </a:xfrm>
        <a:prstGeom prst="rect">
          <a:avLst/>
        </a:prstGeom>
        <a:solidFill>
          <a:schemeClr val="bg2"/>
        </a:solidFill>
      </xdr:spPr>
    </xdr:pic>
    <xdr:clientData/>
  </xdr:twoCellAnchor>
  <xdr:twoCellAnchor editAs="oneCell">
    <xdr:from>
      <xdr:col>16</xdr:col>
      <xdr:colOff>53341</xdr:colOff>
      <xdr:row>1</xdr:row>
      <xdr:rowOff>46168</xdr:rowOff>
    </xdr:from>
    <xdr:to>
      <xdr:col>17</xdr:col>
      <xdr:colOff>236221</xdr:colOff>
      <xdr:row>6</xdr:row>
      <xdr:rowOff>79649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1" y="213808"/>
          <a:ext cx="1150620" cy="871681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80687</xdr:rowOff>
    </xdr:from>
    <xdr:to>
      <xdr:col>18</xdr:col>
      <xdr:colOff>0</xdr:colOff>
      <xdr:row>17</xdr:row>
      <xdr:rowOff>62758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254167"/>
          <a:ext cx="12001500" cy="167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4800" b="1">
              <a:solidFill>
                <a:srgbClr val="E0CA25"/>
              </a:solidFill>
              <a:latin typeface="Arial Black" panose="020B0A04020102020204" pitchFamily="34" charset="0"/>
            </a:rPr>
            <a:t>SIMULATEUR</a:t>
          </a:r>
          <a:r>
            <a:rPr lang="fr-FR" sz="4800" b="1" baseline="0">
              <a:solidFill>
                <a:srgbClr val="E0CA25"/>
              </a:solidFill>
              <a:latin typeface="Arial Black" panose="020B0A04020102020204" pitchFamily="34" charset="0"/>
            </a:rPr>
            <a:t> QUALIOPI,</a:t>
          </a:r>
        </a:p>
        <a:p>
          <a:pPr algn="ctr"/>
          <a:r>
            <a:rPr lang="fr-FR" sz="3200" b="1" baseline="0">
              <a:solidFill>
                <a:srgbClr val="E0CA25"/>
              </a:solidFill>
              <a:latin typeface="Arial Black" panose="020B0A04020102020204" pitchFamily="34" charset="0"/>
            </a:rPr>
            <a:t>les coûts de la certification pour VOTRE activité</a:t>
          </a:r>
          <a:endParaRPr lang="fr-FR" sz="3200" b="1">
            <a:solidFill>
              <a:srgbClr val="E0CA25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55132</xdr:colOff>
      <xdr:row>21</xdr:row>
      <xdr:rowOff>91441</xdr:rowOff>
    </xdr:from>
    <xdr:to>
      <xdr:col>4</xdr:col>
      <xdr:colOff>673695</xdr:colOff>
      <xdr:row>30</xdr:row>
      <xdr:rowOff>152401</xdr:rowOff>
    </xdr:to>
    <xdr:sp macro="" textlink="">
      <xdr:nvSpPr>
        <xdr:cNvPr id="8" name="Flèche : chevr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1476934" y="4285579"/>
          <a:ext cx="1905000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62753</xdr:colOff>
      <xdr:row>54</xdr:row>
      <xdr:rowOff>114303</xdr:rowOff>
    </xdr:from>
    <xdr:to>
      <xdr:col>4</xdr:col>
      <xdr:colOff>681316</xdr:colOff>
      <xdr:row>63</xdr:row>
      <xdr:rowOff>16885</xdr:rowOff>
    </xdr:to>
    <xdr:sp macro="" textlink="">
      <xdr:nvSpPr>
        <xdr:cNvPr id="9" name="Flèche : chevr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1731384" y="9883292"/>
          <a:ext cx="1411342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62753</xdr:colOff>
      <xdr:row>30</xdr:row>
      <xdr:rowOff>121923</xdr:rowOff>
    </xdr:from>
    <xdr:to>
      <xdr:col>4</xdr:col>
      <xdr:colOff>681316</xdr:colOff>
      <xdr:row>45</xdr:row>
      <xdr:rowOff>129543</xdr:rowOff>
    </xdr:to>
    <xdr:sp macro="" textlink="">
      <xdr:nvSpPr>
        <xdr:cNvPr id="11" name="Flèche : chevr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1164515" y="6480141"/>
          <a:ext cx="2545080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62750</xdr:colOff>
      <xdr:row>45</xdr:row>
      <xdr:rowOff>106683</xdr:rowOff>
    </xdr:from>
    <xdr:to>
      <xdr:col>4</xdr:col>
      <xdr:colOff>681313</xdr:colOff>
      <xdr:row>54</xdr:row>
      <xdr:rowOff>137161</xdr:rowOff>
    </xdr:to>
    <xdr:sp macro="" textlink="">
      <xdr:nvSpPr>
        <xdr:cNvPr id="13" name="Flèche : chevro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1701723" y="8465150"/>
          <a:ext cx="1470658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62753</xdr:colOff>
      <xdr:row>63</xdr:row>
      <xdr:rowOff>7623</xdr:rowOff>
    </xdr:from>
    <xdr:to>
      <xdr:col>4</xdr:col>
      <xdr:colOff>681316</xdr:colOff>
      <xdr:row>86</xdr:row>
      <xdr:rowOff>149720</xdr:rowOff>
    </xdr:to>
    <xdr:sp macro="" textlink="">
      <xdr:nvSpPr>
        <xdr:cNvPr id="14" name="Flèche : chevro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1569716" y="11447040"/>
          <a:ext cx="1734677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122</xdr:row>
      <xdr:rowOff>88904</xdr:rowOff>
    </xdr:from>
    <xdr:to>
      <xdr:col>4</xdr:col>
      <xdr:colOff>679523</xdr:colOff>
      <xdr:row>129</xdr:row>
      <xdr:rowOff>62010</xdr:rowOff>
    </xdr:to>
    <xdr:sp macro="" textlink="">
      <xdr:nvSpPr>
        <xdr:cNvPr id="18" name="Flèche : chevro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1850539" y="22264225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129</xdr:row>
      <xdr:rowOff>36311</xdr:rowOff>
    </xdr:from>
    <xdr:to>
      <xdr:col>4</xdr:col>
      <xdr:colOff>679523</xdr:colOff>
      <xdr:row>136</xdr:row>
      <xdr:rowOff>9417</xdr:rowOff>
    </xdr:to>
    <xdr:sp macro="" textlink="">
      <xdr:nvSpPr>
        <xdr:cNvPr id="19" name="Flèche : chevro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5400000">
          <a:off x="1861969" y="23396542"/>
          <a:ext cx="114658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739140</xdr:colOff>
      <xdr:row>109</xdr:row>
      <xdr:rowOff>73212</xdr:rowOff>
    </xdr:from>
    <xdr:to>
      <xdr:col>7</xdr:col>
      <xdr:colOff>114300</xdr:colOff>
      <xdr:row>110</xdr:row>
      <xdr:rowOff>281939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320" y="19336572"/>
          <a:ext cx="480060" cy="376367"/>
        </a:xfrm>
        <a:prstGeom prst="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579121</xdr:colOff>
      <xdr:row>109</xdr:row>
      <xdr:rowOff>45720</xdr:rowOff>
    </xdr:from>
    <xdr:to>
      <xdr:col>10</xdr:col>
      <xdr:colOff>107069</xdr:colOff>
      <xdr:row>110</xdr:row>
      <xdr:rowOff>266700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1" y="17693640"/>
          <a:ext cx="495688" cy="388620"/>
        </a:xfrm>
        <a:prstGeom prst="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510540</xdr:colOff>
      <xdr:row>109</xdr:row>
      <xdr:rowOff>106680</xdr:rowOff>
    </xdr:from>
    <xdr:to>
      <xdr:col>13</xdr:col>
      <xdr:colOff>48208</xdr:colOff>
      <xdr:row>110</xdr:row>
      <xdr:rowOff>335280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160" y="17754600"/>
          <a:ext cx="505408" cy="396240"/>
        </a:xfrm>
        <a:prstGeom prst="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55133</xdr:colOff>
      <xdr:row>86</xdr:row>
      <xdr:rowOff>138515</xdr:rowOff>
    </xdr:from>
    <xdr:to>
      <xdr:col>4</xdr:col>
      <xdr:colOff>673696</xdr:colOff>
      <xdr:row>95</xdr:row>
      <xdr:rowOff>111621</xdr:rowOff>
    </xdr:to>
    <xdr:sp macro="" textlink="">
      <xdr:nvSpPr>
        <xdr:cNvPr id="30" name="Flèche : chevro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rot="5400000">
          <a:off x="1848522" y="12213526"/>
          <a:ext cx="116182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114300</xdr:colOff>
      <xdr:row>70</xdr:row>
      <xdr:rowOff>76200</xdr:rowOff>
    </xdr:from>
    <xdr:to>
      <xdr:col>12</xdr:col>
      <xdr:colOff>434340</xdr:colOff>
      <xdr:row>89</xdr:row>
      <xdr:rowOff>53340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F4DEAAF7-C71B-4FF7-B6CD-39BCCB8F8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83820</xdr:colOff>
      <xdr:row>70</xdr:row>
      <xdr:rowOff>76200</xdr:rowOff>
    </xdr:from>
    <xdr:to>
      <xdr:col>17</xdr:col>
      <xdr:colOff>60960</xdr:colOff>
      <xdr:row>89</xdr:row>
      <xdr:rowOff>53340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B3E64F9C-E63C-46AF-9351-5A6F6AC71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495300</xdr:colOff>
      <xdr:row>108</xdr:row>
      <xdr:rowOff>15240</xdr:rowOff>
    </xdr:from>
    <xdr:to>
      <xdr:col>15</xdr:col>
      <xdr:colOff>510540</xdr:colOff>
      <xdr:row>123</xdr:row>
      <xdr:rowOff>45720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6BBB666C-2A6D-22E1-A528-BE056DB9DBF2}"/>
            </a:ext>
          </a:extLst>
        </xdr:cNvPr>
        <xdr:cNvCxnSpPr/>
      </xdr:nvCxnSpPr>
      <xdr:spPr>
        <a:xfrm>
          <a:off x="11407140" y="18516600"/>
          <a:ext cx="15240" cy="281178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594360</xdr:colOff>
      <xdr:row>123</xdr:row>
      <xdr:rowOff>30480</xdr:rowOff>
    </xdr:from>
    <xdr:to>
      <xdr:col>15</xdr:col>
      <xdr:colOff>502920</xdr:colOff>
      <xdr:row>126</xdr:row>
      <xdr:rowOff>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6C59FD59-B973-41D1-9431-780F7D27E19B}"/>
            </a:ext>
          </a:extLst>
        </xdr:cNvPr>
        <xdr:cNvCxnSpPr/>
      </xdr:nvCxnSpPr>
      <xdr:spPr>
        <a:xfrm flipH="1">
          <a:off x="6667500" y="21313140"/>
          <a:ext cx="4747260" cy="47244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601980</xdr:colOff>
      <xdr:row>125</xdr:row>
      <xdr:rowOff>160020</xdr:rowOff>
    </xdr:from>
    <xdr:to>
      <xdr:col>10</xdr:col>
      <xdr:colOff>609600</xdr:colOff>
      <xdr:row>160</xdr:row>
      <xdr:rowOff>6900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BC56D6D8-423D-4B6D-B6E8-9FF56BF651EF}"/>
            </a:ext>
          </a:extLst>
        </xdr:cNvPr>
        <xdr:cNvCxnSpPr/>
      </xdr:nvCxnSpPr>
      <xdr:spPr>
        <a:xfrm>
          <a:off x="6675120" y="22562820"/>
          <a:ext cx="7620" cy="5760000"/>
        </a:xfrm>
        <a:prstGeom prst="line">
          <a:avLst/>
        </a:prstGeom>
        <a:ln w="285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556260</xdr:colOff>
      <xdr:row>106</xdr:row>
      <xdr:rowOff>144780</xdr:rowOff>
    </xdr:from>
    <xdr:ext cx="65" cy="172227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8B6EFB6F-6909-8F84-85E5-6B193C65FEB4}"/>
            </a:ext>
          </a:extLst>
        </xdr:cNvPr>
        <xdr:cNvSpPr txBox="1"/>
      </xdr:nvSpPr>
      <xdr:spPr>
        <a:xfrm>
          <a:off x="6629400" y="181660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4</xdr:col>
      <xdr:colOff>53340</xdr:colOff>
      <xdr:row>95</xdr:row>
      <xdr:rowOff>106681</xdr:rowOff>
    </xdr:from>
    <xdr:to>
      <xdr:col>4</xdr:col>
      <xdr:colOff>671903</xdr:colOff>
      <xdr:row>101</xdr:row>
      <xdr:rowOff>133127</xdr:rowOff>
    </xdr:to>
    <xdr:sp macro="" textlink="">
      <xdr:nvSpPr>
        <xdr:cNvPr id="25" name="Flèche : chevron 24">
          <a:extLst>
            <a:ext uri="{FF2B5EF4-FFF2-40B4-BE49-F238E27FC236}">
              <a16:creationId xmlns:a16="http://schemas.microsoft.com/office/drawing/2014/main" id="{BDF0CAD9-40BD-4223-B629-76A3394D5B71}"/>
            </a:ext>
          </a:extLst>
        </xdr:cNvPr>
        <xdr:cNvSpPr/>
      </xdr:nvSpPr>
      <xdr:spPr>
        <a:xfrm rot="5400000">
          <a:off x="1842919" y="16559382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53340</xdr:colOff>
      <xdr:row>101</xdr:row>
      <xdr:rowOff>107428</xdr:rowOff>
    </xdr:from>
    <xdr:to>
      <xdr:col>4</xdr:col>
      <xdr:colOff>671903</xdr:colOff>
      <xdr:row>105</xdr:row>
      <xdr:rowOff>362474</xdr:rowOff>
    </xdr:to>
    <xdr:sp macro="" textlink="">
      <xdr:nvSpPr>
        <xdr:cNvPr id="26" name="Flèche : chevron 25">
          <a:extLst>
            <a:ext uri="{FF2B5EF4-FFF2-40B4-BE49-F238E27FC236}">
              <a16:creationId xmlns:a16="http://schemas.microsoft.com/office/drawing/2014/main" id="{042FE58F-B598-45EB-B407-DAC08C10A4AF}"/>
            </a:ext>
          </a:extLst>
        </xdr:cNvPr>
        <xdr:cNvSpPr/>
      </xdr:nvSpPr>
      <xdr:spPr>
        <a:xfrm rot="5400000">
          <a:off x="1854349" y="17691699"/>
          <a:ext cx="114658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53340</xdr:colOff>
      <xdr:row>105</xdr:row>
      <xdr:rowOff>350521</xdr:rowOff>
    </xdr:from>
    <xdr:to>
      <xdr:col>4</xdr:col>
      <xdr:colOff>671903</xdr:colOff>
      <xdr:row>110</xdr:row>
      <xdr:rowOff>110267</xdr:rowOff>
    </xdr:to>
    <xdr:sp macro="" textlink="">
      <xdr:nvSpPr>
        <xdr:cNvPr id="33" name="Flèche : chevron 32">
          <a:extLst>
            <a:ext uri="{FF2B5EF4-FFF2-40B4-BE49-F238E27FC236}">
              <a16:creationId xmlns:a16="http://schemas.microsoft.com/office/drawing/2014/main" id="{01BD5710-AA1F-4073-A51C-63DC2434434E}"/>
            </a:ext>
          </a:extLst>
        </xdr:cNvPr>
        <xdr:cNvSpPr/>
      </xdr:nvSpPr>
      <xdr:spPr>
        <a:xfrm rot="5400000">
          <a:off x="1842919" y="18837762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53340</xdr:colOff>
      <xdr:row>110</xdr:row>
      <xdr:rowOff>84568</xdr:rowOff>
    </xdr:from>
    <xdr:to>
      <xdr:col>4</xdr:col>
      <xdr:colOff>671903</xdr:colOff>
      <xdr:row>115</xdr:row>
      <xdr:rowOff>156734</xdr:rowOff>
    </xdr:to>
    <xdr:sp macro="" textlink="">
      <xdr:nvSpPr>
        <xdr:cNvPr id="34" name="Flèche : chevron 33">
          <a:extLst>
            <a:ext uri="{FF2B5EF4-FFF2-40B4-BE49-F238E27FC236}">
              <a16:creationId xmlns:a16="http://schemas.microsoft.com/office/drawing/2014/main" id="{FF463D35-D776-49B9-968E-EF782A7E1750}"/>
            </a:ext>
          </a:extLst>
        </xdr:cNvPr>
        <xdr:cNvSpPr/>
      </xdr:nvSpPr>
      <xdr:spPr>
        <a:xfrm rot="5400000">
          <a:off x="1854349" y="19970079"/>
          <a:ext cx="114658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53340</xdr:colOff>
      <xdr:row>115</xdr:row>
      <xdr:rowOff>144782</xdr:rowOff>
    </xdr:from>
    <xdr:to>
      <xdr:col>4</xdr:col>
      <xdr:colOff>671903</xdr:colOff>
      <xdr:row>122</xdr:row>
      <xdr:rowOff>110268</xdr:rowOff>
    </xdr:to>
    <xdr:sp macro="" textlink="">
      <xdr:nvSpPr>
        <xdr:cNvPr id="36" name="Flèche : chevron 35">
          <a:extLst>
            <a:ext uri="{FF2B5EF4-FFF2-40B4-BE49-F238E27FC236}">
              <a16:creationId xmlns:a16="http://schemas.microsoft.com/office/drawing/2014/main" id="{5E792641-66F8-4861-8007-717CA354C264}"/>
            </a:ext>
          </a:extLst>
        </xdr:cNvPr>
        <xdr:cNvSpPr/>
      </xdr:nvSpPr>
      <xdr:spPr>
        <a:xfrm rot="5400000">
          <a:off x="1842919" y="21116143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135</xdr:row>
      <xdr:rowOff>144781</xdr:rowOff>
    </xdr:from>
    <xdr:to>
      <xdr:col>4</xdr:col>
      <xdr:colOff>679523</xdr:colOff>
      <xdr:row>142</xdr:row>
      <xdr:rowOff>140747</xdr:rowOff>
    </xdr:to>
    <xdr:sp macro="" textlink="">
      <xdr:nvSpPr>
        <xdr:cNvPr id="37" name="Flèche : chevron 36">
          <a:extLst>
            <a:ext uri="{FF2B5EF4-FFF2-40B4-BE49-F238E27FC236}">
              <a16:creationId xmlns:a16="http://schemas.microsoft.com/office/drawing/2014/main" id="{6BFB4337-D36D-40A3-AD57-251A6654CA1B}"/>
            </a:ext>
          </a:extLst>
        </xdr:cNvPr>
        <xdr:cNvSpPr/>
      </xdr:nvSpPr>
      <xdr:spPr>
        <a:xfrm rot="5400000">
          <a:off x="1850539" y="24522282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142</xdr:row>
      <xdr:rowOff>115048</xdr:rowOff>
    </xdr:from>
    <xdr:to>
      <xdr:col>4</xdr:col>
      <xdr:colOff>679523</xdr:colOff>
      <xdr:row>149</xdr:row>
      <xdr:rowOff>65294</xdr:rowOff>
    </xdr:to>
    <xdr:sp macro="" textlink="">
      <xdr:nvSpPr>
        <xdr:cNvPr id="38" name="Flèche : chevron 37">
          <a:extLst>
            <a:ext uri="{FF2B5EF4-FFF2-40B4-BE49-F238E27FC236}">
              <a16:creationId xmlns:a16="http://schemas.microsoft.com/office/drawing/2014/main" id="{7AA0571B-5A27-4ADE-87C2-F88F127978A6}"/>
            </a:ext>
          </a:extLst>
        </xdr:cNvPr>
        <xdr:cNvSpPr/>
      </xdr:nvSpPr>
      <xdr:spPr>
        <a:xfrm rot="5400000">
          <a:off x="1861969" y="25654599"/>
          <a:ext cx="114658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149</xdr:row>
      <xdr:rowOff>45721</xdr:rowOff>
    </xdr:from>
    <xdr:to>
      <xdr:col>4</xdr:col>
      <xdr:colOff>679523</xdr:colOff>
      <xdr:row>156</xdr:row>
      <xdr:rowOff>41687</xdr:rowOff>
    </xdr:to>
    <xdr:sp macro="" textlink="">
      <xdr:nvSpPr>
        <xdr:cNvPr id="39" name="Flèche : chevron 38">
          <a:extLst>
            <a:ext uri="{FF2B5EF4-FFF2-40B4-BE49-F238E27FC236}">
              <a16:creationId xmlns:a16="http://schemas.microsoft.com/office/drawing/2014/main" id="{EE3EB193-6EA0-45DD-953A-B78D7E8B25CB}"/>
            </a:ext>
          </a:extLst>
        </xdr:cNvPr>
        <xdr:cNvSpPr/>
      </xdr:nvSpPr>
      <xdr:spPr>
        <a:xfrm rot="5400000">
          <a:off x="1850539" y="26793042"/>
          <a:ext cx="116944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156</xdr:row>
      <xdr:rowOff>15988</xdr:rowOff>
    </xdr:from>
    <xdr:to>
      <xdr:col>4</xdr:col>
      <xdr:colOff>679523</xdr:colOff>
      <xdr:row>162</xdr:row>
      <xdr:rowOff>156734</xdr:rowOff>
    </xdr:to>
    <xdr:sp macro="" textlink="">
      <xdr:nvSpPr>
        <xdr:cNvPr id="40" name="Flèche : chevron 39">
          <a:extLst>
            <a:ext uri="{FF2B5EF4-FFF2-40B4-BE49-F238E27FC236}">
              <a16:creationId xmlns:a16="http://schemas.microsoft.com/office/drawing/2014/main" id="{F32651AA-08DE-4FD6-93D7-3AA0D4A6AF9D}"/>
            </a:ext>
          </a:extLst>
        </xdr:cNvPr>
        <xdr:cNvSpPr/>
      </xdr:nvSpPr>
      <xdr:spPr>
        <a:xfrm rot="5400000">
          <a:off x="1861969" y="27925359"/>
          <a:ext cx="1146586" cy="618563"/>
        </a:xfrm>
        <a:prstGeom prst="chevron">
          <a:avLst>
            <a:gd name="adj" fmla="val 21053"/>
          </a:avLst>
        </a:prstGeom>
        <a:solidFill>
          <a:srgbClr val="E0CA25"/>
        </a:solidFill>
        <a:ln>
          <a:solidFill>
            <a:srgbClr val="E0CA25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49530</xdr:colOff>
      <xdr:row>165</xdr:row>
      <xdr:rowOff>152400</xdr:rowOff>
    </xdr:from>
    <xdr:to>
      <xdr:col>2</xdr:col>
      <xdr:colOff>217170</xdr:colOff>
      <xdr:row>168</xdr:row>
      <xdr:rowOff>121920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625F12A-93DD-4A27-092E-3FDF9BEB9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" y="29123640"/>
          <a:ext cx="1181100" cy="47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236220</xdr:colOff>
      <xdr:row>0</xdr:row>
      <xdr:rowOff>175260</xdr:rowOff>
    </xdr:from>
    <xdr:to>
      <xdr:col>5</xdr:col>
      <xdr:colOff>695661</xdr:colOff>
      <xdr:row>4</xdr:row>
      <xdr:rowOff>163158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175260"/>
          <a:ext cx="2044401" cy="68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213360</xdr:colOff>
      <xdr:row>7</xdr:row>
      <xdr:rowOff>78889</xdr:rowOff>
    </xdr:from>
    <xdr:to>
      <xdr:col>5</xdr:col>
      <xdr:colOff>541468</xdr:colOff>
      <xdr:row>10</xdr:row>
      <xdr:rowOff>25998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3280" y="1359049"/>
          <a:ext cx="1913068" cy="472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240702</xdr:colOff>
      <xdr:row>11</xdr:row>
      <xdr:rowOff>63649</xdr:rowOff>
    </xdr:from>
    <xdr:to>
      <xdr:col>5</xdr:col>
      <xdr:colOff>172571</xdr:colOff>
      <xdr:row>17</xdr:row>
      <xdr:rowOff>173915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0622" y="2075329"/>
          <a:ext cx="1516829" cy="116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rgbClr val="000000"/>
      </a:dk1>
      <a:lt1>
        <a:srgbClr val="FFFFFF"/>
      </a:lt1>
      <a:dk2>
        <a:srgbClr val="4A4E58"/>
      </a:dk2>
      <a:lt2>
        <a:srgbClr val="E7E6E6"/>
      </a:lt2>
      <a:accent1>
        <a:srgbClr val="00D1C2"/>
      </a:accent1>
      <a:accent2>
        <a:srgbClr val="01A78C"/>
      </a:accent2>
      <a:accent3>
        <a:srgbClr val="F9933B"/>
      </a:accent3>
      <a:accent4>
        <a:srgbClr val="27AAE1"/>
      </a:accent4>
      <a:accent5>
        <a:srgbClr val="68902B"/>
      </a:accent5>
      <a:accent6>
        <a:srgbClr val="A62B18"/>
      </a:accent6>
      <a:hlink>
        <a:srgbClr val="00D1C2"/>
      </a:hlink>
      <a:folHlink>
        <a:srgbClr val="5B9B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0515-C4B6-4044-8ED5-DE03FD8EC556}">
  <sheetPr codeName="Feuil1"/>
  <dimension ref="A1:U174"/>
  <sheetViews>
    <sheetView showGridLines="0" showRowColHeaders="0" tabSelected="1" topLeftCell="A15" zoomScaleNormal="100" workbookViewId="0">
      <selection activeCell="I174" sqref="I174"/>
    </sheetView>
  </sheetViews>
  <sheetFormatPr baseColWidth="10" defaultColWidth="11.5" defaultRowHeight="13" x14ac:dyDescent="0.15"/>
  <cols>
    <col min="1" max="1" width="1.5" style="1" customWidth="1"/>
    <col min="2" max="2" width="13.1640625" style="1" customWidth="1"/>
    <col min="3" max="3" width="15.5" style="1" customWidth="1"/>
    <col min="4" max="4" width="1.83203125" style="1" customWidth="1"/>
    <col min="5" max="5" width="11.5" style="1"/>
    <col min="6" max="7" width="2.33203125" style="1" customWidth="1"/>
    <col min="8" max="18" width="14.1640625" style="1" customWidth="1"/>
    <col min="19" max="19" width="2.83203125" style="1" customWidth="1"/>
    <col min="20" max="20" width="2.33203125" style="1" customWidth="1"/>
    <col min="21" max="16384" width="11.5" style="1"/>
  </cols>
  <sheetData>
    <row r="1" spans="1:19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"/>
      <c r="P13" s="4"/>
      <c r="Q13" s="4"/>
      <c r="R13" s="4"/>
      <c r="S13" s="4"/>
    </row>
    <row r="14" spans="1:19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"/>
      <c r="M18" s="4"/>
      <c r="N18" s="4"/>
      <c r="O18" s="4"/>
      <c r="P18" s="4"/>
      <c r="Q18" s="4"/>
      <c r="R18" s="4"/>
      <c r="S18" s="4"/>
    </row>
    <row r="19" spans="1:19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15">
      <c r="A21" s="4"/>
      <c r="B21" s="131" t="s">
        <v>8</v>
      </c>
      <c r="C21" s="13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15">
      <c r="A22" s="4"/>
      <c r="B22" s="131"/>
      <c r="C22" s="13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75" customHeight="1" x14ac:dyDescent="0.15">
      <c r="A23" s="4"/>
      <c r="B23" s="5" t="s">
        <v>97</v>
      </c>
      <c r="C23" s="71"/>
      <c r="D23" s="4"/>
      <c r="E23" s="4"/>
      <c r="F23" s="4"/>
      <c r="G23" s="4"/>
      <c r="H23" s="5" t="s">
        <v>97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15">
      <c r="A24" s="4"/>
      <c r="B24" s="119" t="s">
        <v>81</v>
      </c>
      <c r="C24" s="119"/>
      <c r="D24" s="4"/>
      <c r="E24" s="4"/>
      <c r="F24" s="4"/>
      <c r="G24" s="4"/>
      <c r="H24" s="6"/>
      <c r="I24" s="6" t="s">
        <v>93</v>
      </c>
      <c r="J24" s="4"/>
      <c r="K24" s="4"/>
      <c r="L24" s="4"/>
      <c r="M24" s="4"/>
      <c r="N24" s="4"/>
      <c r="O24" s="4"/>
      <c r="P24" s="102"/>
      <c r="Q24" s="4"/>
      <c r="R24" s="4"/>
      <c r="S24" s="4"/>
    </row>
    <row r="25" spans="1:19" x14ac:dyDescent="0.15">
      <c r="A25" s="4"/>
      <c r="B25" s="119"/>
      <c r="C25" s="1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15">
      <c r="A26" s="4"/>
      <c r="B26" s="4"/>
      <c r="C26" s="4"/>
      <c r="D26" s="4"/>
      <c r="E26" s="4"/>
      <c r="F26" s="4"/>
      <c r="G26" s="4"/>
      <c r="H26" s="4"/>
      <c r="I26" s="6" t="s">
        <v>104</v>
      </c>
      <c r="J26" s="4"/>
      <c r="K26" s="4"/>
      <c r="L26" s="4"/>
      <c r="M26" s="102"/>
      <c r="N26" s="4"/>
      <c r="O26" s="4"/>
      <c r="P26" s="4"/>
      <c r="Q26" s="4"/>
      <c r="R26" s="4"/>
      <c r="S26" s="4"/>
    </row>
    <row r="27" spans="1:19" ht="13.25" customHeight="1" x14ac:dyDescent="0.15">
      <c r="A27" s="4"/>
      <c r="B27" s="119" t="s">
        <v>92</v>
      </c>
      <c r="C27" s="1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3.25" customHeight="1" x14ac:dyDescent="0.15">
      <c r="A28" s="4"/>
      <c r="B28" s="119"/>
      <c r="C28" s="119"/>
      <c r="D28" s="4"/>
      <c r="E28" s="4"/>
      <c r="F28" s="4"/>
      <c r="G28" s="4"/>
      <c r="H28" s="4"/>
      <c r="I28" s="6" t="s">
        <v>105</v>
      </c>
      <c r="J28" s="4"/>
      <c r="K28" s="4"/>
      <c r="L28" s="4"/>
      <c r="M28" s="4"/>
      <c r="N28" s="4"/>
      <c r="O28" s="103">
        <v>0</v>
      </c>
      <c r="P28" s="4"/>
      <c r="Q28" s="4"/>
      <c r="R28" s="4"/>
      <c r="S28" s="4"/>
    </row>
    <row r="29" spans="1:19" ht="13.25" customHeight="1" x14ac:dyDescent="0.15">
      <c r="A29" s="4"/>
      <c r="B29" s="119"/>
      <c r="C29" s="119"/>
      <c r="D29" s="4"/>
      <c r="E29" s="4"/>
      <c r="F29" s="4"/>
      <c r="G29" s="4"/>
      <c r="H29" s="4"/>
      <c r="I29" s="4"/>
      <c r="J29" s="4"/>
      <c r="K29" s="4"/>
      <c r="L29" s="14"/>
      <c r="M29" s="4"/>
      <c r="N29" s="4"/>
      <c r="O29" s="4"/>
      <c r="P29" s="4"/>
      <c r="Q29" s="4"/>
      <c r="R29" s="4"/>
      <c r="S29" s="4"/>
    </row>
    <row r="30" spans="1:19" x14ac:dyDescent="0.15">
      <c r="A30" s="4"/>
      <c r="B30" s="119"/>
      <c r="C30" s="119"/>
      <c r="D30" s="4"/>
      <c r="E30" s="4"/>
      <c r="F30" s="4"/>
      <c r="G30" s="4"/>
      <c r="H30" s="27"/>
      <c r="I30" s="27"/>
      <c r="J30" s="27"/>
      <c r="K30" s="27"/>
      <c r="L30" s="27"/>
      <c r="M30" s="27"/>
      <c r="N30" s="27"/>
      <c r="O30" s="27"/>
      <c r="P30" s="27"/>
      <c r="Q30" s="4"/>
      <c r="R30" s="4"/>
      <c r="S30" s="4"/>
    </row>
    <row r="31" spans="1:19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15">
      <c r="A32" s="4"/>
      <c r="B32" s="5" t="s">
        <v>98</v>
      </c>
      <c r="C32" s="4"/>
      <c r="D32" s="4"/>
      <c r="E32" s="4"/>
      <c r="F32" s="4"/>
      <c r="G32" s="4"/>
      <c r="H32" s="5" t="s">
        <v>99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15">
      <c r="A33" s="4"/>
      <c r="B33" s="5" t="s">
        <v>95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6" t="s">
        <v>11</v>
      </c>
      <c r="M34" s="16" t="s">
        <v>12</v>
      </c>
      <c r="N34" s="16" t="s">
        <v>13</v>
      </c>
      <c r="O34" s="16" t="s">
        <v>14</v>
      </c>
      <c r="P34" s="16" t="s">
        <v>15</v>
      </c>
      <c r="Q34" s="4"/>
      <c r="R34" s="4"/>
      <c r="S34" s="4"/>
    </row>
    <row r="35" spans="1:19" ht="14.5" customHeight="1" x14ac:dyDescent="0.15">
      <c r="A35" s="4"/>
      <c r="B35" s="119" t="s">
        <v>82</v>
      </c>
      <c r="C35" s="119"/>
      <c r="D35" s="4"/>
      <c r="E35" s="4"/>
      <c r="F35" s="4"/>
      <c r="G35" s="4"/>
      <c r="H35" s="4"/>
      <c r="I35" s="4"/>
      <c r="J35" s="138" t="s">
        <v>16</v>
      </c>
      <c r="K35" s="139"/>
      <c r="L35" s="136" t="s">
        <v>17</v>
      </c>
      <c r="M35" s="134" t="s">
        <v>18</v>
      </c>
      <c r="N35" s="134"/>
      <c r="O35" s="134"/>
      <c r="P35" s="132"/>
      <c r="Q35" s="4"/>
      <c r="R35" s="4"/>
      <c r="S35" s="4"/>
    </row>
    <row r="36" spans="1:19" x14ac:dyDescent="0.15">
      <c r="A36" s="4"/>
      <c r="B36" s="119"/>
      <c r="C36" s="119"/>
      <c r="D36" s="4"/>
      <c r="E36" s="4"/>
      <c r="F36" s="4"/>
      <c r="G36" s="4"/>
      <c r="H36" s="4"/>
      <c r="I36" s="4"/>
      <c r="J36" s="138"/>
      <c r="K36" s="139"/>
      <c r="L36" s="137"/>
      <c r="M36" s="135"/>
      <c r="N36" s="135"/>
      <c r="O36" s="135"/>
      <c r="P36" s="133"/>
      <c r="Q36" s="4"/>
      <c r="R36" s="4"/>
      <c r="S36" s="4"/>
    </row>
    <row r="37" spans="1:19" x14ac:dyDescent="0.15">
      <c r="A37" s="4"/>
      <c r="B37" s="119"/>
      <c r="C37" s="119"/>
      <c r="D37" s="4"/>
      <c r="E37" s="4"/>
      <c r="F37" s="4"/>
      <c r="G37" s="4"/>
      <c r="H37" s="4"/>
      <c r="I37" s="4"/>
      <c r="J37" s="138"/>
      <c r="K37" s="139"/>
      <c r="L37" s="137"/>
      <c r="M37" s="135"/>
      <c r="N37" s="135"/>
      <c r="O37" s="135"/>
      <c r="P37" s="133"/>
      <c r="Q37" s="4"/>
      <c r="R37" s="4"/>
      <c r="S37" s="4"/>
    </row>
    <row r="38" spans="1:19" x14ac:dyDescent="0.15">
      <c r="A38" s="4"/>
      <c r="B38" s="119"/>
      <c r="C38" s="119"/>
      <c r="D38" s="4"/>
      <c r="E38" s="4"/>
      <c r="F38" s="4"/>
      <c r="G38" s="4"/>
      <c r="H38" s="4"/>
      <c r="I38" s="4"/>
      <c r="J38" s="4"/>
      <c r="K38" s="17" t="str">
        <f>"Prix de vente "&amp;IF(ISBLANK(M26),"",IF(M26="Non","NET DE TAXES ","HT "))&amp;"de la formation"</f>
        <v>Prix de vente de la formation</v>
      </c>
      <c r="L38" s="104">
        <v>1000</v>
      </c>
      <c r="M38" s="105">
        <v>1000</v>
      </c>
      <c r="N38" s="105"/>
      <c r="O38" s="105"/>
      <c r="P38" s="106"/>
      <c r="Q38" s="4"/>
      <c r="R38" s="4"/>
      <c r="S38" s="4"/>
    </row>
    <row r="39" spans="1:19" x14ac:dyDescent="0.15">
      <c r="A39" s="4"/>
      <c r="B39" s="119"/>
      <c r="C39" s="119"/>
      <c r="D39" s="4"/>
      <c r="E39" s="4"/>
      <c r="F39" s="4"/>
      <c r="G39" s="4"/>
      <c r="H39" s="4"/>
      <c r="I39" s="4"/>
      <c r="J39" s="4"/>
      <c r="K39" s="17" t="s">
        <v>19</v>
      </c>
      <c r="L39" s="107">
        <v>1</v>
      </c>
      <c r="M39" s="108">
        <v>1</v>
      </c>
      <c r="N39" s="108"/>
      <c r="O39" s="108"/>
      <c r="P39" s="109"/>
      <c r="Q39" s="4"/>
      <c r="R39" s="4"/>
      <c r="S39" s="4"/>
    </row>
    <row r="40" spans="1:19" x14ac:dyDescent="0.15">
      <c r="A40" s="4"/>
      <c r="B40" s="119"/>
      <c r="C40" s="119"/>
      <c r="D40" s="4"/>
      <c r="E40" s="4"/>
      <c r="F40" s="4"/>
      <c r="G40" s="4"/>
      <c r="H40" s="4"/>
      <c r="I40" s="4"/>
      <c r="J40" s="4"/>
      <c r="K40" s="17" t="s">
        <v>20</v>
      </c>
      <c r="L40" s="110">
        <v>1</v>
      </c>
      <c r="M40" s="111">
        <v>4</v>
      </c>
      <c r="N40" s="111"/>
      <c r="O40" s="111"/>
      <c r="P40" s="112"/>
      <c r="Q40" s="4"/>
      <c r="R40" s="4"/>
      <c r="S40" s="4"/>
    </row>
    <row r="41" spans="1:19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15">
      <c r="A42" s="4"/>
      <c r="B42" s="4"/>
      <c r="C42" s="4"/>
      <c r="D42" s="4"/>
      <c r="E42" s="4"/>
      <c r="F42" s="2"/>
      <c r="G42" s="2"/>
      <c r="H42" s="20"/>
      <c r="I42" s="20"/>
      <c r="J42" s="20"/>
      <c r="K42" s="67" t="str">
        <f>"CHIFFRE D'AFFAIRES "&amp;IF(ISBLANK(M26),"",IF(M26="Non","NET DE TAXES ","HT "))&amp;" POUR UNE SESSION"</f>
        <v>CHIFFRE D'AFFAIRES  POUR UNE SESSION</v>
      </c>
      <c r="L42" s="24">
        <f>L38*L40</f>
        <v>1000</v>
      </c>
      <c r="M42" s="24">
        <f>M38*M40</f>
        <v>4000</v>
      </c>
      <c r="N42" s="24">
        <f>N38*N40</f>
        <v>0</v>
      </c>
      <c r="O42" s="24">
        <f>O38*O40</f>
        <v>0</v>
      </c>
      <c r="P42" s="24">
        <f>P38*P40</f>
        <v>0</v>
      </c>
      <c r="Q42" s="4"/>
      <c r="R42" s="4"/>
      <c r="S42" s="4"/>
    </row>
    <row r="43" spans="1:19" x14ac:dyDescent="0.15">
      <c r="A43" s="4"/>
      <c r="B43" s="4"/>
      <c r="C43" s="4"/>
      <c r="D43" s="4"/>
      <c r="E43" s="4"/>
      <c r="F43" s="2"/>
      <c r="G43" s="2"/>
      <c r="H43" s="20"/>
      <c r="I43" s="20"/>
      <c r="J43" s="20"/>
      <c r="K43" s="21" t="s">
        <v>21</v>
      </c>
      <c r="L43" s="24">
        <f>IFERROR(L38/L39,0)</f>
        <v>1000</v>
      </c>
      <c r="M43" s="24">
        <f>IFERROR(M38/M39,0)</f>
        <v>1000</v>
      </c>
      <c r="N43" s="24">
        <f>IFERROR(N38/N39,0)</f>
        <v>0</v>
      </c>
      <c r="O43" s="24">
        <f>IFERROR(O38/O39,0)</f>
        <v>0</v>
      </c>
      <c r="P43" s="24">
        <f>IFERROR(P38/P39,0)</f>
        <v>0</v>
      </c>
      <c r="Q43" s="4"/>
      <c r="R43" s="4"/>
      <c r="S43" s="4"/>
    </row>
    <row r="44" spans="1:19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15">
      <c r="A45" s="4"/>
      <c r="B45" s="4"/>
      <c r="C45" s="4"/>
      <c r="D45" s="4"/>
      <c r="E45" s="4"/>
      <c r="F45" s="4"/>
      <c r="G45" s="4"/>
      <c r="H45" s="27"/>
      <c r="I45" s="27"/>
      <c r="J45" s="27"/>
      <c r="K45" s="4"/>
      <c r="L45" s="4"/>
      <c r="M45" s="4"/>
      <c r="N45" s="4"/>
      <c r="O45" s="4"/>
      <c r="P45" s="27"/>
      <c r="Q45" s="4"/>
      <c r="R45" s="4"/>
      <c r="S45" s="4"/>
    </row>
    <row r="46" spans="1:19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26"/>
      <c r="L46" s="26"/>
      <c r="M46" s="26"/>
      <c r="N46" s="26"/>
      <c r="O46" s="26"/>
      <c r="P46" s="4"/>
      <c r="Q46" s="4"/>
      <c r="R46" s="4"/>
      <c r="S46" s="4"/>
    </row>
    <row r="47" spans="1:19" x14ac:dyDescent="0.15">
      <c r="A47" s="4"/>
      <c r="B47" s="5" t="s">
        <v>100</v>
      </c>
      <c r="C47" s="4"/>
      <c r="D47" s="4"/>
      <c r="E47" s="4"/>
      <c r="F47" s="4"/>
      <c r="G47" s="4"/>
      <c r="H47" s="5" t="s">
        <v>101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15">
      <c r="A48" s="4"/>
      <c r="B48" s="5" t="s">
        <v>96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9" t="s">
        <v>24</v>
      </c>
      <c r="R48" s="4"/>
      <c r="S48" s="4"/>
    </row>
    <row r="49" spans="1:19" x14ac:dyDescent="0.15">
      <c r="A49" s="4"/>
      <c r="B49" s="119" t="s">
        <v>83</v>
      </c>
      <c r="C49" s="119"/>
      <c r="D49" s="119"/>
      <c r="E49" s="4"/>
      <c r="F49" s="4"/>
      <c r="G49" s="4"/>
      <c r="H49" s="4"/>
      <c r="I49" s="4"/>
      <c r="J49" s="4"/>
      <c r="K49" s="17" t="s">
        <v>85</v>
      </c>
      <c r="L49" s="113">
        <v>3</v>
      </c>
      <c r="M49" s="113">
        <v>3</v>
      </c>
      <c r="N49" s="113"/>
      <c r="O49" s="113"/>
      <c r="P49" s="113"/>
      <c r="Q49" s="19">
        <f>SUM(L49:P49)</f>
        <v>6</v>
      </c>
      <c r="R49" s="4"/>
      <c r="S49" s="4"/>
    </row>
    <row r="50" spans="1:19" x14ac:dyDescent="0.15">
      <c r="A50" s="4"/>
      <c r="B50" s="119"/>
      <c r="C50" s="119"/>
      <c r="D50" s="11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15">
      <c r="A51" s="4"/>
      <c r="B51" s="119"/>
      <c r="C51" s="119"/>
      <c r="D51" s="119"/>
      <c r="E51" s="4"/>
      <c r="F51" s="4"/>
      <c r="G51" s="4"/>
      <c r="H51" s="20"/>
      <c r="I51" s="20"/>
      <c r="J51" s="20"/>
      <c r="K51" s="67" t="str">
        <f>"CHIFFRE D'AFFAIRES ANNUEL "&amp;IF(ISBLANK(M26),"",IF(M26="Non","Net de taxes ","HT "))</f>
        <v xml:space="preserve">CHIFFRE D'AFFAIRES ANNUEL </v>
      </c>
      <c r="L51" s="24">
        <f>L42*L49</f>
        <v>3000</v>
      </c>
      <c r="M51" s="24">
        <f>M42*M49</f>
        <v>12000</v>
      </c>
      <c r="N51" s="24">
        <f>N42*N49</f>
        <v>0</v>
      </c>
      <c r="O51" s="24">
        <f>O42*O49</f>
        <v>0</v>
      </c>
      <c r="P51" s="24">
        <f>P42*P49</f>
        <v>0</v>
      </c>
      <c r="Q51" s="24">
        <f>SUM(L51:P51)</f>
        <v>15000</v>
      </c>
      <c r="R51" s="4"/>
      <c r="S51" s="4"/>
    </row>
    <row r="52" spans="1:19" x14ac:dyDescent="0.15">
      <c r="A52" s="4"/>
      <c r="B52" s="119"/>
      <c r="C52" s="119"/>
      <c r="D52" s="119"/>
      <c r="E52" s="4"/>
      <c r="F52" s="4"/>
      <c r="G52" s="4"/>
      <c r="H52" s="20"/>
      <c r="I52" s="20"/>
      <c r="J52" s="20"/>
      <c r="K52" s="21" t="s">
        <v>22</v>
      </c>
      <c r="L52" s="22">
        <f>IF(L51=0,"",IF($M$26="Oui",PARAM!$M$3,0))</f>
        <v>0</v>
      </c>
      <c r="M52" s="22">
        <f>IF(M51=0,"",IF($M$26="Oui",PARAM!$M$3,0))</f>
        <v>0</v>
      </c>
      <c r="N52" s="22" t="str">
        <f>IF(N51=0,"",IF($M$26="Oui",PARAM!$M$3,0))</f>
        <v/>
      </c>
      <c r="O52" s="22" t="str">
        <f>IF(O51=0,"",IF($M$26="Oui",PARAM!$M$3,0))</f>
        <v/>
      </c>
      <c r="P52" s="22" t="str">
        <f>IF(P51=0,"",IF($M$26="Oui",PARAM!$M$3,0))</f>
        <v/>
      </c>
      <c r="Q52" s="20"/>
      <c r="R52" s="4"/>
      <c r="S52" s="4"/>
    </row>
    <row r="53" spans="1:19" x14ac:dyDescent="0.15">
      <c r="A53" s="4"/>
      <c r="B53" s="119"/>
      <c r="C53" s="119"/>
      <c r="D53" s="119"/>
      <c r="E53" s="4"/>
      <c r="F53" s="4"/>
      <c r="G53" s="4"/>
      <c r="H53" s="20"/>
      <c r="I53" s="20"/>
      <c r="J53" s="20"/>
      <c r="K53" s="23" t="s">
        <v>23</v>
      </c>
      <c r="L53" s="24">
        <f>IF(L51=0,0,L51*(1+L52))</f>
        <v>3000</v>
      </c>
      <c r="M53" s="24">
        <f>IF(M51=0,0,M51*(1+M52))</f>
        <v>12000</v>
      </c>
      <c r="N53" s="24">
        <f>IF(N51=0,0,N51*(1+N52))</f>
        <v>0</v>
      </c>
      <c r="O53" s="24">
        <f>IF(O51=0,0,O51*(1+O52))</f>
        <v>0</v>
      </c>
      <c r="P53" s="24">
        <f>IF(P51=0,0,P51*(1+P52))</f>
        <v>0</v>
      </c>
      <c r="Q53" s="24">
        <f>SUM(L53:P53)</f>
        <v>15000</v>
      </c>
      <c r="R53" s="4"/>
      <c r="S53" s="4"/>
    </row>
    <row r="54" spans="1:19" ht="7.7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15">
      <c r="A55" s="4"/>
      <c r="B55" s="4"/>
      <c r="C55" s="4"/>
      <c r="D55" s="4"/>
      <c r="E55" s="4"/>
      <c r="F55" s="4"/>
      <c r="G55" s="4"/>
      <c r="H55" s="26"/>
      <c r="I55" s="26"/>
      <c r="J55" s="26"/>
      <c r="K55" s="26"/>
      <c r="L55" s="26"/>
      <c r="M55" s="26"/>
      <c r="N55" s="26"/>
      <c r="O55" s="26"/>
      <c r="P55" s="26"/>
      <c r="Q55" s="4"/>
      <c r="R55" s="4"/>
      <c r="S55" s="4"/>
    </row>
    <row r="56" spans="1:19" x14ac:dyDescent="0.15">
      <c r="A56" s="4"/>
      <c r="B56" s="5" t="s">
        <v>107</v>
      </c>
      <c r="C56" s="4"/>
      <c r="D56" s="4"/>
      <c r="E56" s="4"/>
      <c r="F56" s="4"/>
      <c r="G56" s="4"/>
      <c r="H56" s="15" t="s">
        <v>106</v>
      </c>
      <c r="I56" s="4"/>
      <c r="J56" s="4"/>
      <c r="K56" s="15"/>
      <c r="L56" s="4"/>
      <c r="M56" s="4"/>
      <c r="N56" s="4"/>
      <c r="O56" s="4"/>
      <c r="P56" s="4"/>
      <c r="Q56" s="4"/>
      <c r="R56" s="4"/>
      <c r="S56" s="4"/>
    </row>
    <row r="57" spans="1:19" x14ac:dyDescent="0.15">
      <c r="A57" s="4"/>
      <c r="B57" s="5" t="s">
        <v>108</v>
      </c>
      <c r="C57" s="4"/>
      <c r="D57" s="4"/>
      <c r="E57" s="4"/>
      <c r="F57" s="4"/>
      <c r="G57" s="4"/>
      <c r="H57" s="14" t="s">
        <v>48</v>
      </c>
      <c r="I57" s="4"/>
      <c r="J57" s="4"/>
      <c r="K57" s="14"/>
      <c r="L57" s="4"/>
      <c r="M57" s="24">
        <f>SUM(L43:P43)/COUNTIFS(L43:P43,"&gt;0")</f>
        <v>1000</v>
      </c>
      <c r="N57" s="6" t="str">
        <f>IF(ISBLANK(M26),"",IF(M26="Non","Net de taxes ","HT "))</f>
        <v/>
      </c>
      <c r="O57" s="4"/>
      <c r="P57" s="4"/>
      <c r="Q57" s="4"/>
      <c r="R57" s="4"/>
      <c r="S57" s="4"/>
    </row>
    <row r="58" spans="1:19" x14ac:dyDescent="0.15">
      <c r="A58" s="4"/>
      <c r="B58" s="120" t="s">
        <v>84</v>
      </c>
      <c r="C58" s="120"/>
      <c r="D58" s="4"/>
      <c r="E58" s="4"/>
      <c r="F58" s="4"/>
      <c r="G58" s="4"/>
      <c r="H58" s="68" t="s">
        <v>4</v>
      </c>
      <c r="I58" s="4"/>
      <c r="J58" s="4"/>
      <c r="K58" s="14"/>
      <c r="L58" s="4"/>
      <c r="M58" s="4"/>
      <c r="N58" s="4"/>
      <c r="O58" s="4"/>
      <c r="P58" s="4"/>
      <c r="Q58" s="4"/>
      <c r="R58" s="4"/>
      <c r="S58" s="4"/>
    </row>
    <row r="59" spans="1:19" x14ac:dyDescent="0.15">
      <c r="A59" s="4"/>
      <c r="B59" s="120"/>
      <c r="C59" s="120"/>
      <c r="D59" s="4"/>
      <c r="E59" s="4"/>
      <c r="F59" s="4"/>
      <c r="G59" s="4"/>
      <c r="H59" s="14" t="s">
        <v>86</v>
      </c>
      <c r="I59" s="103">
        <v>700</v>
      </c>
      <c r="J59" s="6" t="str">
        <f>IF(ISBLANK(M26),"",IF(M26="Non","Net de taxes ","HT "))</f>
        <v/>
      </c>
      <c r="K59" s="14"/>
      <c r="L59" s="4"/>
      <c r="M59" s="4"/>
      <c r="N59" s="4"/>
      <c r="O59" s="4"/>
      <c r="P59" s="17" t="s">
        <v>49</v>
      </c>
      <c r="Q59" s="24">
        <f>IF(I59&gt;0,I59,M57)</f>
        <v>700</v>
      </c>
      <c r="R59" s="6" t="str">
        <f>IF(ISBLANK(M26),"",IF(M26="Non","Net de taxes ","HT "))</f>
        <v/>
      </c>
      <c r="S59" s="4"/>
    </row>
    <row r="60" spans="1:19" x14ac:dyDescent="0.15">
      <c r="A60" s="4"/>
      <c r="B60" s="120"/>
      <c r="C60" s="12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15">
      <c r="A61" s="4"/>
      <c r="B61" s="120"/>
      <c r="C61" s="12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8" t="s">
        <v>9</v>
      </c>
      <c r="R61" s="4"/>
      <c r="S61" s="4"/>
    </row>
    <row r="62" spans="1:19" x14ac:dyDescent="0.15">
      <c r="A62" s="4"/>
      <c r="B62" s="120"/>
      <c r="C62" s="12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8" t="s">
        <v>10</v>
      </c>
      <c r="R62" s="4"/>
      <c r="S62" s="4"/>
    </row>
    <row r="63" spans="1:19" x14ac:dyDescent="0.15">
      <c r="A63" s="4"/>
      <c r="B63" s="120"/>
      <c r="C63" s="12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15">
      <c r="A64" s="4"/>
      <c r="B64" s="4"/>
      <c r="C64" s="4"/>
      <c r="D64" s="4"/>
      <c r="E64" s="4"/>
      <c r="F64" s="4"/>
      <c r="G64" s="4"/>
      <c r="H64" s="26"/>
      <c r="I64" s="26"/>
      <c r="J64" s="26"/>
      <c r="K64" s="26"/>
      <c r="L64" s="26"/>
      <c r="M64" s="26"/>
      <c r="N64" s="26"/>
      <c r="O64" s="26"/>
      <c r="P64" s="26"/>
      <c r="Q64" s="4"/>
      <c r="R64" s="4"/>
      <c r="S64" s="4"/>
    </row>
    <row r="65" spans="1:19" ht="13.25" customHeight="1" x14ac:dyDescent="0.15">
      <c r="A65" s="4"/>
      <c r="B65" s="5" t="s">
        <v>102</v>
      </c>
      <c r="C65" s="4"/>
      <c r="D65" s="4"/>
      <c r="E65" s="4"/>
      <c r="F65" s="4"/>
      <c r="G65" s="4"/>
      <c r="H65" s="15" t="s">
        <v>103</v>
      </c>
      <c r="I65" s="4"/>
      <c r="J65" s="4"/>
      <c r="K65" s="4"/>
      <c r="L65" s="4"/>
      <c r="M65" s="4"/>
      <c r="N65" s="4"/>
      <c r="O65" s="124" t="s">
        <v>51</v>
      </c>
      <c r="P65" s="124"/>
      <c r="Q65" s="4"/>
      <c r="R65" s="4"/>
      <c r="S65" s="4"/>
    </row>
    <row r="66" spans="1:19" ht="13.25" customHeight="1" x14ac:dyDescent="0.15">
      <c r="A66" s="4"/>
      <c r="B66" s="130" t="s">
        <v>109</v>
      </c>
      <c r="C66" s="130"/>
      <c r="D66" s="4"/>
      <c r="E66" s="4"/>
      <c r="F66" s="4"/>
      <c r="G66" s="4"/>
      <c r="H66" s="15"/>
      <c r="I66" s="42" t="s">
        <v>50</v>
      </c>
      <c r="J66" s="4"/>
      <c r="K66" s="4"/>
      <c r="L66" s="4"/>
      <c r="M66" s="4"/>
      <c r="N66" s="4"/>
      <c r="O66" s="124"/>
      <c r="P66" s="124"/>
      <c r="Q66" s="4"/>
      <c r="R66" s="4"/>
      <c r="S66" s="4"/>
    </row>
    <row r="67" spans="1:19" ht="13.25" customHeight="1" x14ac:dyDescent="0.15">
      <c r="A67" s="4"/>
      <c r="B67" s="130"/>
      <c r="C67" s="130"/>
      <c r="D67" s="4"/>
      <c r="E67" s="4"/>
      <c r="F67" s="4"/>
      <c r="G67" s="4"/>
      <c r="H67" s="15"/>
      <c r="I67" s="69" t="str">
        <f>" - "&amp;TEXT(Q51,"# ##0")&amp;" € "&amp;IF(M26="Oui","HT","Net de taxes")&amp;" sur votre activité de formateur"</f>
        <v xml:space="preserve"> - 15 000 € Net de taxes sur votre activité de formateur</v>
      </c>
      <c r="J67" s="4"/>
      <c r="K67" s="4"/>
      <c r="L67" s="4"/>
      <c r="M67" s="4"/>
      <c r="N67" s="4"/>
      <c r="O67" s="124"/>
      <c r="P67" s="124"/>
      <c r="Q67" s="4"/>
      <c r="R67" s="4"/>
      <c r="S67" s="4"/>
    </row>
    <row r="68" spans="1:19" ht="13.25" customHeight="1" x14ac:dyDescent="0.15">
      <c r="A68" s="4"/>
      <c r="B68" s="130"/>
      <c r="C68" s="130"/>
      <c r="D68" s="4"/>
      <c r="E68" s="4"/>
      <c r="F68" s="4"/>
      <c r="G68" s="4"/>
      <c r="H68" s="15"/>
      <c r="I68" s="69" t="str">
        <f>" -"&amp;TEXT(O28,"# ##0")&amp;" € "&amp;IF(M26="Oui","HT","Net de taxes")&amp;" sur votre activité hors formation"</f>
        <v xml:space="preserve"> - 0 € Net de taxes sur votre activité hors formation</v>
      </c>
      <c r="J68" s="4"/>
      <c r="K68" s="4"/>
      <c r="L68" s="4"/>
      <c r="M68" s="4"/>
      <c r="N68" s="4"/>
      <c r="O68" s="125">
        <f>O28+Q51</f>
        <v>15000</v>
      </c>
      <c r="P68" s="126"/>
      <c r="Q68" s="4"/>
      <c r="R68" s="4"/>
      <c r="S68" s="4"/>
    </row>
    <row r="69" spans="1:19" ht="13.25" customHeight="1" x14ac:dyDescent="0.15">
      <c r="A69" s="4"/>
      <c r="B69" s="130"/>
      <c r="C69" s="130"/>
      <c r="D69" s="4"/>
      <c r="E69" s="4"/>
      <c r="F69" s="4"/>
      <c r="G69" s="4"/>
      <c r="H69" s="4"/>
      <c r="I69" s="42"/>
      <c r="J69" s="4"/>
      <c r="K69" s="4"/>
      <c r="L69" s="4"/>
      <c r="M69" s="4"/>
      <c r="N69" s="4"/>
      <c r="O69" s="126"/>
      <c r="P69" s="126"/>
      <c r="Q69" s="4"/>
      <c r="R69" s="4"/>
      <c r="S69" s="4"/>
    </row>
    <row r="70" spans="1:19" ht="13.25" customHeight="1" x14ac:dyDescent="0.15">
      <c r="A70" s="4"/>
      <c r="B70" s="130"/>
      <c r="C70" s="130"/>
      <c r="D70" s="4"/>
      <c r="E70" s="4"/>
      <c r="F70" s="4"/>
      <c r="G70" s="4"/>
      <c r="H70" s="4"/>
      <c r="I70" s="42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3.25" customHeight="1" x14ac:dyDescent="0.15">
      <c r="A71" s="4"/>
      <c r="B71" s="130"/>
      <c r="C71" s="130"/>
      <c r="D71" s="4"/>
      <c r="E71" s="4"/>
      <c r="F71" s="4"/>
      <c r="G71" s="4"/>
      <c r="H71" s="4"/>
      <c r="I71" s="42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3.25" customHeight="1" x14ac:dyDescent="0.15">
      <c r="A72" s="4"/>
      <c r="B72" s="130"/>
      <c r="C72" s="130"/>
      <c r="D72" s="4"/>
      <c r="E72" s="4"/>
      <c r="F72" s="4"/>
      <c r="G72" s="4"/>
      <c r="H72" s="4"/>
      <c r="I72" s="42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3.25" customHeight="1" x14ac:dyDescent="0.15">
      <c r="A73" s="4"/>
      <c r="B73" s="130"/>
      <c r="C73" s="130"/>
      <c r="D73" s="4"/>
      <c r="E73" s="4"/>
      <c r="F73" s="4"/>
      <c r="G73" s="4"/>
      <c r="H73" s="4"/>
      <c r="I73" s="42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3.25" customHeight="1" x14ac:dyDescent="0.15">
      <c r="A74" s="4"/>
      <c r="B74" s="130"/>
      <c r="C74" s="130"/>
      <c r="D74" s="4"/>
      <c r="E74" s="4"/>
      <c r="F74" s="4"/>
      <c r="G74" s="4"/>
      <c r="H74" s="4"/>
      <c r="I74" s="42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3.25" customHeight="1" x14ac:dyDescent="0.15">
      <c r="A75" s="4"/>
      <c r="B75" s="130"/>
      <c r="C75" s="130"/>
      <c r="D75" s="4"/>
      <c r="E75" s="4"/>
      <c r="F75" s="4"/>
      <c r="G75" s="4"/>
      <c r="H75" s="4"/>
      <c r="I75" s="42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3.25" customHeight="1" x14ac:dyDescent="0.15">
      <c r="A76" s="4"/>
      <c r="B76" s="4"/>
      <c r="C76" s="4"/>
      <c r="D76" s="4"/>
      <c r="E76" s="4"/>
      <c r="F76" s="4"/>
      <c r="G76" s="4"/>
      <c r="H76" s="4"/>
      <c r="I76" s="42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15">
      <c r="A77" s="4"/>
      <c r="B77" s="4"/>
      <c r="C77" s="4"/>
      <c r="D77" s="4"/>
      <c r="E77" s="4"/>
      <c r="F77" s="4"/>
      <c r="G77" s="4"/>
      <c r="H77" s="4"/>
      <c r="I77" s="42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3.25" customHeight="1" x14ac:dyDescent="0.15">
      <c r="A78" s="4"/>
      <c r="B78" s="4"/>
      <c r="C78" s="4"/>
      <c r="D78" s="4"/>
      <c r="E78" s="4"/>
      <c r="F78" s="4"/>
      <c r="G78" s="4"/>
      <c r="H78" s="4"/>
      <c r="I78" s="42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3.25" customHeight="1" x14ac:dyDescent="0.15">
      <c r="A79" s="4"/>
      <c r="B79" s="4"/>
      <c r="C79" s="4"/>
      <c r="D79" s="4"/>
      <c r="E79" s="4"/>
      <c r="F79" s="4"/>
      <c r="G79" s="4"/>
      <c r="H79" s="4"/>
      <c r="I79" s="42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15">
      <c r="A81" s="4"/>
      <c r="B81" s="4"/>
      <c r="C81" s="4"/>
      <c r="D81" s="4"/>
      <c r="E81" s="4"/>
      <c r="F81" s="4"/>
      <c r="G81" s="4"/>
      <c r="H81" s="4"/>
      <c r="I81" s="6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3.25" customHeight="1" x14ac:dyDescent="0.15">
      <c r="A82" s="4"/>
      <c r="B82" s="4"/>
      <c r="C82" s="4"/>
      <c r="D82" s="4"/>
      <c r="E82" s="4"/>
      <c r="F82" s="4"/>
      <c r="G82" s="4"/>
      <c r="H82" s="7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3.25" customHeight="1" x14ac:dyDescent="0.15">
      <c r="A83" s="4"/>
      <c r="B83" s="4"/>
      <c r="C83" s="4"/>
      <c r="D83" s="4"/>
      <c r="E83" s="4"/>
      <c r="F83" s="4"/>
      <c r="G83" s="4"/>
      <c r="H83" s="73"/>
      <c r="I83" s="127" t="str">
        <f>IF(O28+Q51&gt;PARAM!M13,"Votre chiffre d'affaires est SUPERIEUR au plafond de TVA pour les micro-entreprises","Votre chiffre d'affaires est INFERIEUR au plafond de TVA pour les micro-entreprises")&amp;" ("&amp;TEXT(PARAM!M13,"# ##0")&amp;" €)"</f>
        <v>Votre chiffre d'affaires est INFERIEUR au plafond de TVA pour les micro-entreprises (36 500 €)</v>
      </c>
      <c r="J83" s="127"/>
      <c r="K83" s="127"/>
      <c r="L83" s="127"/>
      <c r="M83" s="4"/>
      <c r="N83" s="127" t="str">
        <f>IF(O28+Q51&gt;PARAM!M17,"Votre chiffre d'affaires est SUPERIEUR au plafond de CA pour les micro-entreprises en prestation de services","Votre chiffre d'affaires est INFERIEUR au plafond de CA pour les micro-entreprises en prestation de services")&amp;" ("&amp;TEXT(PARAM!M17,"# ##0")&amp;" €)"</f>
        <v>Votre chiffre d'affaires est INFERIEUR au plafond de CA pour les micro-entreprises en prestation de services (72 600 €)</v>
      </c>
      <c r="O83" s="127"/>
      <c r="P83" s="127"/>
      <c r="Q83" s="4"/>
      <c r="R83" s="4"/>
      <c r="S83" s="4"/>
    </row>
    <row r="84" spans="1:19" ht="13.25" customHeight="1" x14ac:dyDescent="0.15">
      <c r="A84" s="4"/>
      <c r="B84" s="4"/>
      <c r="C84" s="4"/>
      <c r="D84" s="4"/>
      <c r="E84" s="4"/>
      <c r="F84" s="4"/>
      <c r="G84" s="4"/>
      <c r="H84" s="73"/>
      <c r="I84" s="127"/>
      <c r="J84" s="127"/>
      <c r="K84" s="127"/>
      <c r="L84" s="127"/>
      <c r="M84" s="4"/>
      <c r="N84" s="127"/>
      <c r="O84" s="127"/>
      <c r="P84" s="127"/>
      <c r="Q84" s="4"/>
      <c r="R84" s="4"/>
      <c r="S84" s="4"/>
    </row>
    <row r="85" spans="1:19" ht="6.5" customHeight="1" x14ac:dyDescent="0.15">
      <c r="A85" s="4"/>
      <c r="B85" s="4"/>
      <c r="C85" s="4"/>
      <c r="D85" s="4"/>
      <c r="E85" s="4"/>
      <c r="F85" s="4"/>
      <c r="G85" s="4"/>
      <c r="H85" s="73"/>
      <c r="I85" s="127"/>
      <c r="J85" s="127"/>
      <c r="K85" s="127"/>
      <c r="L85" s="127"/>
      <c r="M85" s="4"/>
      <c r="N85" s="127"/>
      <c r="O85" s="127"/>
      <c r="P85" s="127"/>
      <c r="Q85" s="4"/>
      <c r="R85" s="4"/>
      <c r="S85" s="4"/>
    </row>
    <row r="86" spans="1:19" ht="13.25" customHeight="1" x14ac:dyDescent="0.15">
      <c r="A86" s="4"/>
      <c r="B86" s="4"/>
      <c r="C86" s="4"/>
      <c r="D86" s="4"/>
      <c r="E86" s="4"/>
      <c r="F86" s="4"/>
      <c r="G86" s="4"/>
      <c r="H86" s="73"/>
      <c r="I86" s="127"/>
      <c r="J86" s="127"/>
      <c r="K86" s="127"/>
      <c r="L86" s="127"/>
      <c r="M86" s="4"/>
      <c r="N86" s="127"/>
      <c r="O86" s="127"/>
      <c r="P86" s="127"/>
      <c r="Q86" s="4"/>
      <c r="R86" s="4"/>
      <c r="S86" s="4"/>
    </row>
    <row r="87" spans="1:19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27"/>
      <c r="O87" s="127"/>
      <c r="P87" s="127"/>
      <c r="Q87" s="4"/>
      <c r="R87" s="4"/>
      <c r="S87" s="4"/>
    </row>
    <row r="88" spans="1:19" x14ac:dyDescent="0.15">
      <c r="A88" s="4"/>
      <c r="B88" s="4"/>
      <c r="C88" s="4"/>
      <c r="D88" s="4"/>
      <c r="E88" s="4"/>
      <c r="F88" s="4"/>
      <c r="G88" s="4"/>
      <c r="H88" s="128" t="str">
        <f>IF(AND(O28+Q51&gt;PARAM!M13,M26="Non"),"A la lumière des informations saisies, votre prévisionnelle va dépasser le seuil de TVA. Pour le besoin de la simulation veuillez choisir oui à la question sur la TVA en haut du simulateur.","")</f>
        <v/>
      </c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4"/>
    </row>
    <row r="89" spans="1:19" x14ac:dyDescent="0.15">
      <c r="A89" s="4"/>
      <c r="B89" s="4"/>
      <c r="C89" s="4"/>
      <c r="D89" s="4"/>
      <c r="E89" s="4"/>
      <c r="F89" s="4"/>
      <c r="G89" s="4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4"/>
    </row>
    <row r="90" spans="1:19" ht="14" thickBo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4" thickTop="1" x14ac:dyDescent="0.15">
      <c r="A91" s="4"/>
      <c r="B91" s="4"/>
      <c r="C91" s="4"/>
      <c r="D91" s="4"/>
      <c r="E91" s="4"/>
      <c r="F91" s="4"/>
      <c r="G91" s="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4"/>
      <c r="S91" s="4"/>
    </row>
    <row r="92" spans="1:19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123" t="s">
        <v>25</v>
      </c>
      <c r="L92" s="123"/>
      <c r="M92" s="123"/>
      <c r="N92" s="123"/>
      <c r="O92" s="4"/>
      <c r="P92" s="4"/>
      <c r="Q92" s="4"/>
      <c r="R92" s="4"/>
      <c r="S92" s="4"/>
    </row>
    <row r="93" spans="1:19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123"/>
      <c r="L93" s="123"/>
      <c r="M93" s="123"/>
      <c r="N93" s="123"/>
      <c r="O93" s="4"/>
      <c r="P93" s="4"/>
      <c r="Q93" s="4"/>
      <c r="R93" s="4"/>
      <c r="S93" s="4"/>
    </row>
    <row r="94" spans="1:19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122" t="s">
        <v>26</v>
      </c>
      <c r="L94" s="122"/>
      <c r="M94" s="122"/>
      <c r="N94" s="122"/>
      <c r="O94" s="4"/>
      <c r="P94" s="4"/>
      <c r="Q94" s="4"/>
      <c r="R94" s="4"/>
      <c r="S94" s="4"/>
    </row>
    <row r="95" spans="1:19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122"/>
      <c r="L95" s="122"/>
      <c r="M95" s="122"/>
      <c r="N95" s="122"/>
      <c r="O95" s="4"/>
      <c r="P95" s="4"/>
      <c r="Q95" s="4"/>
      <c r="R95" s="4"/>
      <c r="S95" s="4"/>
    </row>
    <row r="96" spans="1:19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122"/>
      <c r="L96" s="122"/>
      <c r="M96" s="122"/>
      <c r="N96" s="122"/>
      <c r="O96" s="4"/>
      <c r="P96" s="4"/>
      <c r="Q96" s="4"/>
      <c r="R96" s="4"/>
      <c r="S96" s="4"/>
    </row>
    <row r="97" spans="1:19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123" t="s">
        <v>27</v>
      </c>
      <c r="L97" s="123"/>
      <c r="M97" s="123"/>
      <c r="N97" s="123"/>
      <c r="O97" s="4"/>
      <c r="P97" s="4"/>
      <c r="Q97" s="4"/>
      <c r="R97" s="4"/>
      <c r="S97" s="4"/>
    </row>
    <row r="98" spans="1:19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123"/>
      <c r="L98" s="123"/>
      <c r="M98" s="123"/>
      <c r="N98" s="123"/>
      <c r="O98" s="4"/>
      <c r="P98" s="4"/>
      <c r="Q98" s="4"/>
      <c r="R98" s="4"/>
      <c r="S98" s="4"/>
    </row>
    <row r="99" spans="1:19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25" x14ac:dyDescent="0.15">
      <c r="A100" s="4"/>
      <c r="B100" s="120" t="s">
        <v>88</v>
      </c>
      <c r="C100" s="120"/>
      <c r="D100" s="4"/>
      <c r="E100" s="4"/>
      <c r="F100" s="4"/>
      <c r="G100" s="4"/>
      <c r="H100" s="4"/>
      <c r="I100" s="100" t="s">
        <v>75</v>
      </c>
      <c r="J100" s="99" t="str">
        <f>INDEX(PARAM!$O$24:$O$27,MATCH(1,PARAM!K24:K27,),1)</f>
        <v>CONSULTANT, COACH, FORMATEUR</v>
      </c>
      <c r="K100" s="2"/>
      <c r="L100" s="2"/>
      <c r="M100" s="2"/>
      <c r="N100" s="2"/>
      <c r="O100" s="4"/>
      <c r="P100" s="4"/>
      <c r="Q100" s="4"/>
      <c r="R100" s="4"/>
      <c r="S100" s="4"/>
    </row>
    <row r="101" spans="1:19" x14ac:dyDescent="0.15">
      <c r="A101" s="4"/>
      <c r="B101" s="120"/>
      <c r="C101" s="12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15">
      <c r="A102" s="4"/>
      <c r="B102" s="120"/>
      <c r="C102" s="120"/>
      <c r="D102" s="4"/>
      <c r="E102" s="4"/>
      <c r="F102" s="4"/>
      <c r="G102" s="4"/>
      <c r="H102" s="4"/>
      <c r="I102" s="4"/>
      <c r="J102" s="121" t="str">
        <f>IF(PARAM!K27=1,PARAM!K33,PARAM!K32)</f>
        <v xml:space="preserve">La Boîte à indés serait ravi de vous accueillir parmi ses formateurs. Nous vous invitons à contacter David à l'adresse david@laboite-a-indes.fr </v>
      </c>
      <c r="K102" s="121"/>
      <c r="L102" s="121"/>
      <c r="M102" s="121"/>
      <c r="N102" s="121"/>
      <c r="O102" s="121"/>
      <c r="P102" s="121"/>
      <c r="Q102" s="121"/>
      <c r="R102" s="4"/>
      <c r="S102" s="4"/>
    </row>
    <row r="103" spans="1:19" x14ac:dyDescent="0.15">
      <c r="A103" s="4"/>
      <c r="B103" s="120"/>
      <c r="C103" s="120"/>
      <c r="D103" s="4"/>
      <c r="E103" s="4"/>
      <c r="F103" s="4"/>
      <c r="G103" s="4"/>
      <c r="H103" s="4"/>
      <c r="I103" s="4"/>
      <c r="J103" s="121"/>
      <c r="K103" s="121"/>
      <c r="L103" s="121"/>
      <c r="M103" s="121"/>
      <c r="N103" s="121"/>
      <c r="O103" s="121"/>
      <c r="P103" s="121"/>
      <c r="Q103" s="121"/>
      <c r="R103" s="4"/>
      <c r="S103" s="4"/>
    </row>
    <row r="104" spans="1:19" x14ac:dyDescent="0.15">
      <c r="A104" s="4"/>
      <c r="B104" s="120"/>
      <c r="C104" s="120"/>
      <c r="D104" s="4"/>
      <c r="E104" s="4"/>
      <c r="F104" s="4"/>
      <c r="G104" s="4"/>
      <c r="H104" s="4"/>
      <c r="I104" s="4"/>
      <c r="J104" s="5" t="str">
        <f>"Voici la formule qui vous correspond le mieux et qui représente un coût annuel moyen de "&amp;TEXT(PARAM!O30,"# ##0")&amp;" €."</f>
        <v>Voici la formule qui vous correspond le mieux et qui représente un coût annuel moyen de 3 024 €.</v>
      </c>
      <c r="K104" s="5"/>
      <c r="L104" s="4"/>
      <c r="M104" s="4"/>
      <c r="N104" s="4"/>
      <c r="O104" s="4"/>
      <c r="P104" s="4"/>
      <c r="Q104" s="4"/>
      <c r="R104" s="4"/>
      <c r="S104" s="4"/>
    </row>
    <row r="105" spans="1:19" ht="41.5" customHeight="1" x14ac:dyDescent="0.15">
      <c r="A105" s="4"/>
      <c r="B105" s="120"/>
      <c r="C105" s="120"/>
      <c r="D105" s="4"/>
      <c r="E105" s="4"/>
      <c r="F105" s="4"/>
      <c r="G105" s="4"/>
      <c r="H105" s="4"/>
      <c r="I105" s="4"/>
      <c r="J105" s="129" t="str">
        <f>IF(PARAM!K27=1,PARAM!K34&amp;PARAM!K35,"")</f>
        <v/>
      </c>
      <c r="K105" s="129"/>
      <c r="L105" s="129"/>
      <c r="M105" s="129"/>
      <c r="N105" s="129"/>
      <c r="O105" s="129"/>
      <c r="P105" s="129"/>
      <c r="Q105" s="129"/>
      <c r="R105" s="101"/>
      <c r="S105" s="4"/>
    </row>
    <row r="106" spans="1:19" ht="45" x14ac:dyDescent="0.45">
      <c r="A106" s="4"/>
      <c r="B106" s="120"/>
      <c r="C106" s="120"/>
      <c r="D106" s="4"/>
      <c r="E106" s="4"/>
      <c r="F106" s="4"/>
      <c r="G106" s="4"/>
      <c r="H106" s="141" t="str">
        <f>IF(PARAM!K24=1,"ê","")</f>
        <v/>
      </c>
      <c r="I106" s="142"/>
      <c r="J106" s="98"/>
      <c r="K106" s="141" t="str">
        <f>IF(PARAM!K25=1,"ê","")</f>
        <v>ê</v>
      </c>
      <c r="L106" s="142"/>
      <c r="M106" s="98"/>
      <c r="N106" s="141" t="str">
        <f>IF(PARAM!K26=1,"ê","")</f>
        <v/>
      </c>
      <c r="O106" s="142"/>
      <c r="P106" s="98"/>
      <c r="Q106" s="141" t="str">
        <f>IF(PARAM!K27=1,"ê","")</f>
        <v/>
      </c>
      <c r="R106" s="142"/>
      <c r="S106" s="4"/>
    </row>
    <row r="107" spans="1:19" ht="14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43" t="s">
        <v>69</v>
      </c>
      <c r="R107" s="143"/>
      <c r="S107" s="4"/>
    </row>
    <row r="108" spans="1:19" ht="23.5" customHeight="1" x14ac:dyDescent="0.25">
      <c r="A108" s="4"/>
      <c r="B108" s="4"/>
      <c r="C108" s="4"/>
      <c r="D108" s="4"/>
      <c r="E108" s="4"/>
      <c r="F108" s="4"/>
      <c r="G108" s="4"/>
      <c r="H108" s="74" t="s">
        <v>63</v>
      </c>
      <c r="I108" s="4"/>
      <c r="J108" s="4"/>
      <c r="K108" s="4"/>
      <c r="L108" s="4"/>
      <c r="M108" s="4"/>
      <c r="N108" s="4"/>
      <c r="O108" s="4"/>
      <c r="P108" s="86" t="s">
        <v>4</v>
      </c>
      <c r="Q108" s="143"/>
      <c r="R108" s="143"/>
      <c r="S108" s="4"/>
    </row>
    <row r="109" spans="1:19" x14ac:dyDescent="0.15">
      <c r="A109" s="4"/>
      <c r="B109" s="4"/>
      <c r="C109" s="4"/>
      <c r="D109" s="4"/>
      <c r="E109" s="4"/>
      <c r="F109" s="4"/>
      <c r="G109" s="4"/>
      <c r="H109" s="6" t="s">
        <v>68</v>
      </c>
      <c r="I109" s="4"/>
      <c r="J109" s="4"/>
      <c r="K109" s="4"/>
      <c r="L109" s="4"/>
      <c r="M109" s="4"/>
      <c r="N109" s="4"/>
      <c r="O109" s="4"/>
      <c r="P109" s="4"/>
      <c r="Q109" s="143"/>
      <c r="R109" s="143"/>
      <c r="S109" s="4"/>
    </row>
    <row r="110" spans="1:19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30.5" customHeight="1" x14ac:dyDescent="0.15">
      <c r="A111" s="4"/>
      <c r="B111" s="4"/>
      <c r="C111" s="4"/>
      <c r="D111" s="4"/>
      <c r="E111" s="4"/>
      <c r="F111" s="4"/>
      <c r="G111" s="4"/>
      <c r="H111" s="140" t="s">
        <v>38</v>
      </c>
      <c r="I111" s="140"/>
      <c r="J111" s="4"/>
      <c r="K111" s="140" t="s">
        <v>39</v>
      </c>
      <c r="L111" s="140"/>
      <c r="M111" s="4"/>
      <c r="N111" s="140" t="s">
        <v>40</v>
      </c>
      <c r="O111" s="140"/>
      <c r="P111" s="4"/>
      <c r="Q111" s="140" t="s">
        <v>64</v>
      </c>
      <c r="R111" s="140"/>
      <c r="S111" s="4"/>
    </row>
    <row r="112" spans="1:19" ht="13.25" customHeight="1" x14ac:dyDescent="0.15">
      <c r="A112" s="4"/>
      <c r="B112" s="4"/>
      <c r="C112" s="4"/>
      <c r="D112" s="4"/>
      <c r="E112" s="4"/>
      <c r="F112" s="4"/>
      <c r="G112" s="4"/>
      <c r="H112" s="31"/>
      <c r="I112" s="75"/>
      <c r="J112" s="4"/>
      <c r="K112" s="31"/>
      <c r="L112" s="75"/>
      <c r="M112" s="4"/>
      <c r="N112" s="31"/>
      <c r="O112" s="75"/>
      <c r="P112" s="4"/>
      <c r="Q112" s="87"/>
      <c r="R112" s="88"/>
      <c r="S112" s="4"/>
    </row>
    <row r="113" spans="1:19" ht="14.5" customHeight="1" x14ac:dyDescent="0.15">
      <c r="A113" s="4"/>
      <c r="B113" s="4"/>
      <c r="C113" s="4"/>
      <c r="D113" s="4"/>
      <c r="E113" s="4"/>
      <c r="F113" s="4"/>
      <c r="G113" s="4"/>
      <c r="H113" s="145" t="s">
        <v>67</v>
      </c>
      <c r="I113" s="144">
        <f>PARAM!R4</f>
        <v>90</v>
      </c>
      <c r="J113" s="4"/>
      <c r="K113" s="145" t="s">
        <v>67</v>
      </c>
      <c r="L113" s="144">
        <f>PARAM!R5</f>
        <v>420</v>
      </c>
      <c r="M113" s="4"/>
      <c r="N113" s="145" t="s">
        <v>67</v>
      </c>
      <c r="O113" s="144">
        <f>PARAM!R6</f>
        <v>1500</v>
      </c>
      <c r="P113" s="4"/>
      <c r="Q113" s="91" t="s">
        <v>71</v>
      </c>
      <c r="R113" s="92" t="s">
        <v>72</v>
      </c>
      <c r="S113" s="4"/>
    </row>
    <row r="114" spans="1:19" ht="13.25" customHeight="1" x14ac:dyDescent="0.15">
      <c r="A114" s="4"/>
      <c r="B114" s="4"/>
      <c r="C114" s="4"/>
      <c r="D114" s="4"/>
      <c r="E114" s="4"/>
      <c r="F114" s="4"/>
      <c r="G114" s="4"/>
      <c r="H114" s="145"/>
      <c r="I114" s="144"/>
      <c r="J114" s="4"/>
      <c r="K114" s="145"/>
      <c r="L114" s="144"/>
      <c r="M114" s="4"/>
      <c r="N114" s="145"/>
      <c r="O114" s="144"/>
      <c r="P114" s="4"/>
      <c r="Q114" s="84" t="s">
        <v>76</v>
      </c>
      <c r="R114" s="90"/>
      <c r="S114" s="4"/>
    </row>
    <row r="115" spans="1:19" ht="13.25" customHeight="1" x14ac:dyDescent="0.15">
      <c r="A115" s="4"/>
      <c r="B115" s="4"/>
      <c r="C115" s="4"/>
      <c r="D115" s="4"/>
      <c r="E115" s="4"/>
      <c r="F115" s="4"/>
      <c r="G115" s="4"/>
      <c r="H115" s="76" t="s">
        <v>66</v>
      </c>
      <c r="I115" s="77"/>
      <c r="J115" s="4"/>
      <c r="K115" s="76" t="s">
        <v>66</v>
      </c>
      <c r="L115" s="77"/>
      <c r="M115" s="4"/>
      <c r="N115" s="31"/>
      <c r="O115" s="75"/>
      <c r="P115" s="4"/>
      <c r="Q115" s="96">
        <f>Q130+Q133</f>
        <v>3297.6</v>
      </c>
      <c r="R115" s="97">
        <f>Q150+Q153</f>
        <v>2697.6</v>
      </c>
      <c r="S115" s="4"/>
    </row>
    <row r="116" spans="1:19" ht="14.5" customHeight="1" x14ac:dyDescent="0.15">
      <c r="A116" s="4"/>
      <c r="B116" s="4"/>
      <c r="C116" s="4"/>
      <c r="D116" s="4"/>
      <c r="E116" s="4"/>
      <c r="F116" s="4"/>
      <c r="G116" s="4"/>
      <c r="H116" s="145" t="s">
        <v>65</v>
      </c>
      <c r="I116" s="75"/>
      <c r="J116" s="4"/>
      <c r="K116" s="145" t="s">
        <v>65</v>
      </c>
      <c r="L116" s="75"/>
      <c r="M116" s="4"/>
      <c r="N116" s="145" t="s">
        <v>65</v>
      </c>
      <c r="O116" s="75"/>
      <c r="P116" s="4"/>
      <c r="Q116" s="89"/>
      <c r="R116" s="90"/>
      <c r="S116" s="4"/>
    </row>
    <row r="117" spans="1:19" ht="14.5" customHeight="1" x14ac:dyDescent="0.15">
      <c r="A117" s="4"/>
      <c r="B117" s="4"/>
      <c r="C117" s="4"/>
      <c r="D117" s="4"/>
      <c r="E117" s="4"/>
      <c r="F117" s="4"/>
      <c r="G117" s="4"/>
      <c r="H117" s="145"/>
      <c r="I117" s="75"/>
      <c r="J117" s="4"/>
      <c r="K117" s="145"/>
      <c r="L117" s="75"/>
      <c r="M117" s="4"/>
      <c r="N117" s="145"/>
      <c r="O117" s="75"/>
      <c r="P117" s="4"/>
      <c r="Q117" s="93" t="s">
        <v>77</v>
      </c>
      <c r="R117" s="90"/>
      <c r="S117" s="4"/>
    </row>
    <row r="118" spans="1:19" ht="13.25" customHeight="1" x14ac:dyDescent="0.15">
      <c r="A118" s="4"/>
      <c r="B118" s="4"/>
      <c r="C118" s="4"/>
      <c r="D118" s="4"/>
      <c r="E118" s="4"/>
      <c r="F118" s="4"/>
      <c r="G118" s="4"/>
      <c r="H118" s="145"/>
      <c r="I118" s="81">
        <f>IF(AND(P24="EI",M26="Non"),PARAM!P4,PARAM!Q4)</f>
        <v>0.18</v>
      </c>
      <c r="J118" s="4"/>
      <c r="K118" s="145"/>
      <c r="L118" s="81">
        <f>IF(AND(P24="EI",M26="Non"),PARAM!P5,PARAM!Q5)</f>
        <v>0.14000000000000001</v>
      </c>
      <c r="M118" s="4"/>
      <c r="N118" s="145"/>
      <c r="O118" s="81">
        <f>IF(AND(P24="EI",M26="Non"),PARAM!P6,PARAM!Q6)</f>
        <v>0.1</v>
      </c>
      <c r="P118" s="4"/>
      <c r="Q118" s="94">
        <f>20+1*12+Q49*3/PARAM!M9</f>
        <v>34.25</v>
      </c>
      <c r="R118" s="95">
        <f>3+1*12+Q49*3/PARAM!M9</f>
        <v>17.25</v>
      </c>
      <c r="S118" s="4"/>
    </row>
    <row r="119" spans="1:19" ht="13.25" customHeight="1" x14ac:dyDescent="0.15">
      <c r="A119" s="4"/>
      <c r="B119" s="4"/>
      <c r="C119" s="4"/>
      <c r="D119" s="4"/>
      <c r="E119" s="4"/>
      <c r="F119" s="4"/>
      <c r="G119" s="4"/>
      <c r="H119" s="145"/>
      <c r="I119" s="75"/>
      <c r="J119" s="4"/>
      <c r="K119" s="145"/>
      <c r="L119" s="75"/>
      <c r="M119" s="4"/>
      <c r="N119" s="145"/>
      <c r="O119" s="75"/>
      <c r="P119" s="4"/>
      <c r="Q119" s="96">
        <f>Q128+Q136+Q139</f>
        <v>23975</v>
      </c>
      <c r="R119" s="97">
        <f>Q148+Q156+Q159</f>
        <v>12075</v>
      </c>
      <c r="S119" s="4"/>
    </row>
    <row r="120" spans="1:19" ht="13.25" customHeight="1" x14ac:dyDescent="0.15">
      <c r="A120" s="4"/>
      <c r="B120" s="4"/>
      <c r="C120" s="4"/>
      <c r="D120" s="4"/>
      <c r="E120" s="4"/>
      <c r="F120" s="4"/>
      <c r="G120" s="4"/>
      <c r="H120" s="31"/>
      <c r="I120" s="75"/>
      <c r="J120" s="4"/>
      <c r="K120" s="31"/>
      <c r="L120" s="75"/>
      <c r="M120" s="4"/>
      <c r="N120" s="31"/>
      <c r="O120" s="75"/>
      <c r="P120" s="4"/>
      <c r="Q120" s="89"/>
      <c r="R120" s="90"/>
      <c r="S120" s="4"/>
    </row>
    <row r="121" spans="1:19" x14ac:dyDescent="0.15">
      <c r="A121" s="4"/>
      <c r="B121" s="4"/>
      <c r="C121" s="4"/>
      <c r="D121" s="4"/>
      <c r="E121" s="4"/>
      <c r="F121" s="4"/>
      <c r="G121" s="4"/>
      <c r="H121" s="82" t="s">
        <v>42</v>
      </c>
      <c r="I121" s="78"/>
      <c r="J121" s="4"/>
      <c r="K121" s="82" t="s">
        <v>42</v>
      </c>
      <c r="L121" s="78"/>
      <c r="M121" s="4"/>
      <c r="N121" s="82" t="s">
        <v>42</v>
      </c>
      <c r="O121" s="78"/>
      <c r="P121" s="4"/>
      <c r="Q121" s="82" t="s">
        <v>70</v>
      </c>
      <c r="R121" s="78"/>
      <c r="S121" s="4"/>
    </row>
    <row r="122" spans="1:19" x14ac:dyDescent="0.15">
      <c r="A122" s="4"/>
      <c r="B122" s="4"/>
      <c r="C122" s="4"/>
      <c r="D122" s="4"/>
      <c r="E122" s="4"/>
      <c r="F122" s="4"/>
      <c r="G122" s="4"/>
      <c r="H122" s="79"/>
      <c r="I122" s="80">
        <f>(I113+Q51*I118)*(1+IF(M26="Oui",0,PARAM!$M$3))</f>
        <v>3348</v>
      </c>
      <c r="J122" s="4"/>
      <c r="K122" s="79"/>
      <c r="L122" s="80">
        <f>(L113+Q51*L118)*(1+IF(M26="Oui",0,PARAM!$M$3))</f>
        <v>3024</v>
      </c>
      <c r="M122" s="4"/>
      <c r="N122" s="79"/>
      <c r="O122" s="80">
        <f>(O113+Q51*O118)*(1+IF(M26="Oui",0,PARAM!$M$3))</f>
        <v>3600</v>
      </c>
      <c r="P122" s="4"/>
      <c r="Q122" s="83" t="s">
        <v>71</v>
      </c>
      <c r="R122" s="80">
        <f>Q144</f>
        <v>27272.6</v>
      </c>
      <c r="S122" s="4"/>
    </row>
    <row r="123" spans="1:19" ht="13.2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3" t="s">
        <v>72</v>
      </c>
      <c r="R123" s="80">
        <f>Q162</f>
        <v>14772.6</v>
      </c>
      <c r="S123" s="4"/>
    </row>
    <row r="124" spans="1:19" ht="13.2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5" t="s">
        <v>73</v>
      </c>
      <c r="R124" s="4"/>
      <c r="S124" s="4"/>
    </row>
    <row r="125" spans="1:19" ht="13.2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4" t="s">
        <v>28</v>
      </c>
      <c r="N127" s="32"/>
      <c r="O127" s="40"/>
      <c r="P127" s="40"/>
      <c r="Q127" s="40"/>
      <c r="R127" s="40"/>
      <c r="S127" s="4"/>
    </row>
    <row r="128" spans="1:19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5" t="s">
        <v>29</v>
      </c>
      <c r="N128" s="4"/>
      <c r="O128" s="4"/>
      <c r="P128" s="4"/>
      <c r="Q128" s="41">
        <f>20*Q59</f>
        <v>14000</v>
      </c>
      <c r="R128" s="14" t="str">
        <f>IF(ISBLANK(M26),"",IF(M26="Non","TTC ","HT "))</f>
        <v/>
      </c>
      <c r="S128" s="4"/>
    </row>
    <row r="129" spans="1:2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6"/>
      <c r="N129" s="4"/>
      <c r="O129" s="4"/>
      <c r="P129" s="4"/>
      <c r="Q129" s="4"/>
      <c r="R129" s="4"/>
      <c r="S129" s="4"/>
      <c r="U129" s="30"/>
    </row>
    <row r="130" spans="1:2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5" t="s">
        <v>30</v>
      </c>
      <c r="N130" s="4"/>
      <c r="O130" s="4"/>
      <c r="P130" s="4"/>
      <c r="Q130" s="41">
        <f>AVERAGE(99,159)*12*(1+IF(M26="Oui",0,PARAM!$M$3))</f>
        <v>1857.6</v>
      </c>
      <c r="R130" s="14" t="str">
        <f>IF(ISBLANK(M26),"",IF(M26="Non","TTC ","HT "))&amp;"/an"</f>
        <v>/an</v>
      </c>
      <c r="S130" s="4"/>
    </row>
    <row r="131" spans="1:2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7" t="s">
        <v>31</v>
      </c>
      <c r="N131" s="4"/>
      <c r="O131" s="4"/>
      <c r="P131" s="4"/>
      <c r="Q131" s="4"/>
      <c r="R131" s="4"/>
      <c r="S131" s="4"/>
    </row>
    <row r="132" spans="1:2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6"/>
      <c r="N132" s="4"/>
      <c r="O132" s="4"/>
      <c r="P132" s="4"/>
      <c r="Q132" s="4"/>
      <c r="R132" s="4"/>
      <c r="S132" s="4"/>
    </row>
    <row r="133" spans="1:2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5" t="s">
        <v>32</v>
      </c>
      <c r="N133" s="4"/>
      <c r="O133" s="4"/>
      <c r="P133" s="4"/>
      <c r="Q133" s="41">
        <f>1200*(1+IF(M26="Oui",0,PARAM!$M$3))</f>
        <v>1440</v>
      </c>
      <c r="R133" s="14" t="str">
        <f>IF(ISBLANK(M26),"",IF(M26="Non","TTC ","HT "))</f>
        <v/>
      </c>
      <c r="S133" s="4"/>
    </row>
    <row r="134" spans="1:2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7" t="s">
        <v>114</v>
      </c>
      <c r="N134" s="4"/>
      <c r="O134" s="4"/>
      <c r="P134" s="4"/>
      <c r="Q134" s="4"/>
      <c r="R134" s="4"/>
      <c r="S134" s="4"/>
    </row>
    <row r="135" spans="1:2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6"/>
      <c r="N135" s="4"/>
      <c r="O135" s="4"/>
      <c r="P135" s="4"/>
      <c r="Q135" s="4"/>
      <c r="R135" s="4"/>
      <c r="S135" s="4"/>
    </row>
    <row r="136" spans="1:2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5" t="s">
        <v>33</v>
      </c>
      <c r="N136" s="4"/>
      <c r="O136" s="4"/>
      <c r="P136" s="4"/>
      <c r="Q136" s="41">
        <f>1*PARAM!M6*Q59</f>
        <v>8400</v>
      </c>
      <c r="R136" s="14" t="str">
        <f>IF(ISBLANK(M26),"",IF(M26="Non","TTC ","HT "))</f>
        <v/>
      </c>
      <c r="S136" s="4"/>
    </row>
    <row r="137" spans="1:2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6"/>
      <c r="N137" s="4"/>
      <c r="O137" s="4"/>
      <c r="P137" s="4"/>
      <c r="Q137" s="4"/>
      <c r="R137" s="4"/>
      <c r="S137" s="4"/>
    </row>
    <row r="138" spans="1:2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6"/>
      <c r="N138" s="4"/>
      <c r="O138" s="4"/>
      <c r="P138" s="4"/>
      <c r="Q138" s="4"/>
      <c r="R138" s="4"/>
      <c r="S138" s="4"/>
    </row>
    <row r="139" spans="1:21" x14ac:dyDescent="0.15">
      <c r="A139" s="4"/>
      <c r="B139" s="6" t="s">
        <v>89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5" t="s">
        <v>115</v>
      </c>
      <c r="N139" s="4"/>
      <c r="O139" s="4"/>
      <c r="P139" s="4"/>
      <c r="Q139" s="41">
        <f>Q59/PARAM!M9*Simulateur!Q49*3</f>
        <v>1575</v>
      </c>
      <c r="R139" s="14" t="str">
        <f>IF(ISBLANK(M26),"",IF(M26="Non","TTC ","HT "))</f>
        <v/>
      </c>
      <c r="S139" s="4"/>
    </row>
    <row r="140" spans="1:21" ht="13.25" customHeight="1" x14ac:dyDescent="0.15">
      <c r="A140" s="4"/>
      <c r="B140" s="119" t="s">
        <v>90</v>
      </c>
      <c r="C140" s="119"/>
      <c r="D140" s="4"/>
      <c r="E140" s="4"/>
      <c r="F140" s="4"/>
      <c r="G140" s="4"/>
      <c r="H140" s="4"/>
      <c r="I140" s="4"/>
      <c r="J140" s="4"/>
      <c r="K140" s="4"/>
      <c r="L140" s="4"/>
      <c r="M140" s="38" t="s">
        <v>36</v>
      </c>
      <c r="N140" s="4"/>
      <c r="O140" s="4"/>
      <c r="P140" s="4"/>
      <c r="Q140" s="4"/>
      <c r="R140" s="4"/>
      <c r="S140" s="4"/>
    </row>
    <row r="141" spans="1:21" ht="13.25" customHeight="1" x14ac:dyDescent="0.15">
      <c r="A141" s="4"/>
      <c r="B141" s="119"/>
      <c r="C141" s="119"/>
      <c r="D141" s="4"/>
      <c r="E141" s="4"/>
      <c r="F141" s="4"/>
      <c r="G141" s="4"/>
      <c r="H141" s="4"/>
      <c r="I141" s="4"/>
      <c r="J141" s="4"/>
      <c r="K141" s="4"/>
      <c r="L141" s="4"/>
      <c r="M141" s="39" t="str">
        <f>"soit"&amp;TEXT(Q49*3,"# ##0")&amp;" heures de gestion administrative pour "&amp;TEXT(Q49,"# ##0")&amp;" session(s) de formation par an"</f>
        <v>soit 18 heures de gestion administrative pour  6 session(s) de formation par an</v>
      </c>
      <c r="N141" s="4"/>
      <c r="O141" s="4"/>
      <c r="P141" s="4"/>
      <c r="Q141" s="4"/>
      <c r="R141" s="4"/>
      <c r="S141" s="4"/>
    </row>
    <row r="142" spans="1:21" ht="13.25" customHeight="1" x14ac:dyDescent="0.15">
      <c r="A142" s="4"/>
      <c r="B142" s="119"/>
      <c r="C142" s="119"/>
      <c r="D142" s="4"/>
      <c r="E142" s="4"/>
      <c r="F142" s="4"/>
      <c r="G142" s="4"/>
      <c r="H142" s="4"/>
      <c r="I142" s="4"/>
      <c r="J142" s="4"/>
      <c r="K142" s="4"/>
      <c r="L142" s="4"/>
      <c r="M142" s="31"/>
      <c r="N142" s="4"/>
      <c r="O142" s="4"/>
      <c r="P142" s="4"/>
      <c r="Q142" s="4"/>
      <c r="R142" s="4"/>
      <c r="S142" s="4"/>
    </row>
    <row r="143" spans="1:21" ht="13.25" customHeight="1" x14ac:dyDescent="0.15">
      <c r="A143" s="4"/>
      <c r="B143" s="119"/>
      <c r="C143" s="119"/>
      <c r="D143" s="4"/>
      <c r="E143" s="4"/>
      <c r="F143" s="4"/>
      <c r="G143" s="4"/>
      <c r="H143" s="4"/>
      <c r="I143" s="4"/>
      <c r="J143" s="4"/>
      <c r="K143" s="4"/>
      <c r="L143" s="4"/>
      <c r="M143" s="31"/>
      <c r="N143" s="4"/>
      <c r="O143" s="4"/>
      <c r="P143" s="4"/>
      <c r="Q143" s="4"/>
      <c r="R143" s="4"/>
      <c r="S143" s="4"/>
    </row>
    <row r="144" spans="1:21" ht="13.25" customHeight="1" x14ac:dyDescent="0.15">
      <c r="A144" s="4"/>
      <c r="B144" s="119"/>
      <c r="C144" s="119"/>
      <c r="D144" s="4"/>
      <c r="E144" s="4"/>
      <c r="F144" s="4"/>
      <c r="G144" s="4"/>
      <c r="H144" s="4"/>
      <c r="I144" s="4"/>
      <c r="J144" s="4"/>
      <c r="K144" s="4"/>
      <c r="L144" s="4"/>
      <c r="M144" s="31"/>
      <c r="N144" s="33" t="s">
        <v>37</v>
      </c>
      <c r="O144" s="2"/>
      <c r="P144" s="2"/>
      <c r="Q144" s="24">
        <f>SUM(Q128,Q130,Q133,Q136,Q139)</f>
        <v>27272.6</v>
      </c>
      <c r="R144" s="4"/>
      <c r="S144" s="4"/>
    </row>
    <row r="145" spans="1:19" x14ac:dyDescent="0.15">
      <c r="A145" s="4"/>
      <c r="B145" s="119"/>
      <c r="C145" s="11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15">
      <c r="A146" s="4"/>
      <c r="B146" s="119"/>
      <c r="C146" s="11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4" t="s">
        <v>47</v>
      </c>
      <c r="N147" s="32"/>
      <c r="O147" s="40"/>
      <c r="P147" s="40"/>
      <c r="Q147" s="40"/>
      <c r="R147" s="40"/>
      <c r="S147" s="4"/>
    </row>
    <row r="148" spans="1:19" x14ac:dyDescent="0.15">
      <c r="A148" s="4"/>
      <c r="B148" s="130" t="s">
        <v>91</v>
      </c>
      <c r="C148" s="130"/>
      <c r="D148" s="4"/>
      <c r="E148" s="4"/>
      <c r="F148" s="4"/>
      <c r="G148" s="4"/>
      <c r="H148" s="4"/>
      <c r="I148" s="4"/>
      <c r="J148" s="4"/>
      <c r="K148" s="4"/>
      <c r="L148" s="4"/>
      <c r="M148" s="35" t="s">
        <v>62</v>
      </c>
      <c r="N148" s="4"/>
      <c r="O148" s="4"/>
      <c r="P148" s="4"/>
      <c r="Q148" s="41">
        <f>3*Q59</f>
        <v>2100</v>
      </c>
      <c r="R148" s="14"/>
      <c r="S148" s="4"/>
    </row>
    <row r="149" spans="1:19" x14ac:dyDescent="0.15">
      <c r="A149" s="4"/>
      <c r="B149" s="130"/>
      <c r="C149" s="130"/>
      <c r="D149" s="4"/>
      <c r="E149" s="4"/>
      <c r="F149" s="4"/>
      <c r="G149" s="4"/>
      <c r="H149" s="4"/>
      <c r="I149" s="4"/>
      <c r="J149" s="4"/>
      <c r="K149" s="4"/>
      <c r="L149" s="4"/>
      <c r="M149" s="36"/>
      <c r="N149" s="4"/>
      <c r="O149" s="4"/>
      <c r="P149" s="4"/>
      <c r="Q149" s="4"/>
      <c r="R149" s="4"/>
      <c r="S149" s="4"/>
    </row>
    <row r="150" spans="1:19" x14ac:dyDescent="0.15">
      <c r="A150" s="4"/>
      <c r="B150" s="130"/>
      <c r="C150" s="130"/>
      <c r="D150" s="4"/>
      <c r="E150" s="4"/>
      <c r="F150" s="4"/>
      <c r="G150" s="4"/>
      <c r="H150" s="4"/>
      <c r="I150" s="4"/>
      <c r="J150" s="4"/>
      <c r="K150" s="4"/>
      <c r="L150" s="4"/>
      <c r="M150" s="35" t="str">
        <f>M130</f>
        <v>Outil de gestion de la formation</v>
      </c>
      <c r="N150" s="4"/>
      <c r="O150" s="4"/>
      <c r="P150" s="4"/>
      <c r="Q150" s="41">
        <f>Q130</f>
        <v>1857.6</v>
      </c>
      <c r="R150" s="14" t="str">
        <f>R130</f>
        <v>/an</v>
      </c>
      <c r="S150" s="4"/>
    </row>
    <row r="151" spans="1:19" x14ac:dyDescent="0.15">
      <c r="A151" s="4"/>
      <c r="B151" s="130"/>
      <c r="C151" s="130"/>
      <c r="D151" s="4"/>
      <c r="E151" s="4"/>
      <c r="F151" s="4"/>
      <c r="G151" s="4"/>
      <c r="H151" s="4"/>
      <c r="I151" s="4"/>
      <c r="J151" s="4"/>
      <c r="K151" s="4"/>
      <c r="L151" s="4"/>
      <c r="M151" s="37" t="str">
        <f>M131</f>
        <v xml:space="preserve"> (non obligatoire mais fortement recommandé au regard de la règlementation très exigeante)</v>
      </c>
      <c r="N151" s="4"/>
      <c r="O151" s="4"/>
      <c r="P151" s="4"/>
      <c r="Q151" s="4"/>
      <c r="R151" s="4"/>
      <c r="S151" s="4"/>
    </row>
    <row r="152" spans="1:19" x14ac:dyDescent="0.15">
      <c r="A152" s="4"/>
      <c r="B152" s="130"/>
      <c r="C152" s="130"/>
      <c r="D152" s="4"/>
      <c r="E152" s="4"/>
      <c r="F152" s="4"/>
      <c r="G152" s="4"/>
      <c r="H152" s="4"/>
      <c r="I152" s="4"/>
      <c r="J152" s="4"/>
      <c r="K152" s="4"/>
      <c r="L152" s="4"/>
      <c r="M152" s="31"/>
      <c r="N152" s="4"/>
      <c r="O152" s="4"/>
      <c r="P152" s="4"/>
      <c r="Q152" s="4"/>
      <c r="R152" s="4"/>
      <c r="S152" s="4"/>
    </row>
    <row r="153" spans="1:19" x14ac:dyDescent="0.15">
      <c r="A153" s="4"/>
      <c r="B153" s="130"/>
      <c r="C153" s="130"/>
      <c r="D153" s="4"/>
      <c r="E153" s="4"/>
      <c r="F153" s="4"/>
      <c r="G153" s="4"/>
      <c r="H153" s="4"/>
      <c r="I153" s="4"/>
      <c r="J153" s="4"/>
      <c r="K153" s="4"/>
      <c r="L153" s="4"/>
      <c r="M153" s="35" t="s">
        <v>45</v>
      </c>
      <c r="N153" s="4"/>
      <c r="O153" s="4"/>
      <c r="P153" s="4"/>
      <c r="Q153" s="41">
        <f>700*(1+IF(M26="Oui",0,PARAM!$M$3))</f>
        <v>840</v>
      </c>
      <c r="R153" s="14" t="str">
        <f t="shared" ref="R153" si="0">R133</f>
        <v/>
      </c>
      <c r="S153" s="4"/>
    </row>
    <row r="154" spans="1:19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7" t="str">
        <f>M134</f>
        <v xml:space="preserve"> (à réaliser tous les 18 mois, prix moyen constaté auprès d'une vingtaine d'organismes certificateurs)</v>
      </c>
      <c r="N154" s="4"/>
      <c r="O154" s="4"/>
      <c r="P154" s="4"/>
      <c r="Q154" s="4"/>
      <c r="R154" s="4"/>
      <c r="S154" s="4"/>
    </row>
    <row r="155" spans="1:19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1"/>
      <c r="N155" s="4"/>
      <c r="O155" s="4"/>
      <c r="P155" s="4"/>
      <c r="Q155" s="4"/>
      <c r="R155" s="4"/>
      <c r="S155" s="4"/>
    </row>
    <row r="156" spans="1:19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5" t="str">
        <f>M136</f>
        <v>Veille pédagogique et règlementaire (1jr/mois)</v>
      </c>
      <c r="N156" s="4"/>
      <c r="O156" s="4"/>
      <c r="P156" s="4"/>
      <c r="Q156" s="41">
        <f t="shared" ref="Q156:R156" si="1">Q136</f>
        <v>8400</v>
      </c>
      <c r="R156" s="14" t="str">
        <f t="shared" si="1"/>
        <v/>
      </c>
      <c r="S156" s="4"/>
    </row>
    <row r="157" spans="1:19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5"/>
      <c r="N157" s="4"/>
      <c r="O157" s="4"/>
      <c r="P157" s="4"/>
      <c r="Q157" s="4"/>
      <c r="R157" s="14"/>
      <c r="S157" s="4"/>
    </row>
    <row r="158" spans="1:19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1"/>
      <c r="N158" s="4"/>
      <c r="O158" s="4"/>
      <c r="P158" s="4"/>
      <c r="Q158" s="4"/>
      <c r="R158" s="4"/>
      <c r="S158" s="4"/>
    </row>
    <row r="159" spans="1:19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5" t="str">
        <f>M139</f>
        <v>Gestion administrative de vos sessions de formation</v>
      </c>
      <c r="N159" s="4"/>
      <c r="O159" s="4"/>
      <c r="P159" s="4"/>
      <c r="Q159" s="41">
        <f>Q139</f>
        <v>1575</v>
      </c>
      <c r="R159" s="14" t="str">
        <f>R139</f>
        <v/>
      </c>
      <c r="S159" s="4"/>
    </row>
    <row r="160" spans="1:19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1"/>
      <c r="N160" s="4"/>
      <c r="O160" s="4"/>
      <c r="P160" s="4"/>
      <c r="Q160" s="4"/>
      <c r="R160" s="4"/>
      <c r="S160" s="4"/>
    </row>
    <row r="161" spans="1:19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1"/>
      <c r="N161" s="4"/>
      <c r="O161" s="4"/>
      <c r="P161" s="4"/>
      <c r="Q161" s="4"/>
      <c r="R161" s="4"/>
      <c r="S161" s="4"/>
    </row>
    <row r="162" spans="1:19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1"/>
      <c r="N162" s="33" t="s">
        <v>37</v>
      </c>
      <c r="O162" s="2"/>
      <c r="P162" s="2"/>
      <c r="Q162" s="24">
        <f>SUM(Q150,Q153,Q156,Q159,Q148)</f>
        <v>14772.6</v>
      </c>
      <c r="R162" s="4"/>
      <c r="S162" s="4"/>
    </row>
    <row r="163" spans="1:19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1"/>
      <c r="N163" s="4"/>
      <c r="O163" s="4"/>
      <c r="P163" s="4"/>
      <c r="Q163" s="4"/>
      <c r="R163" s="4"/>
      <c r="S163" s="4"/>
    </row>
    <row r="164" spans="1:19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4" thickBot="1" x14ac:dyDescent="0.2">
      <c r="A165" s="4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4"/>
    </row>
    <row r="166" spans="1:19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3.25" customHeight="1" x14ac:dyDescent="0.15">
      <c r="A167" s="4"/>
      <c r="B167" s="117"/>
      <c r="C167" s="118" t="s">
        <v>117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4"/>
    </row>
    <row r="168" spans="1:19" x14ac:dyDescent="0.15">
      <c r="A168" s="4"/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4"/>
    </row>
    <row r="169" spans="1:19" x14ac:dyDescent="0.15">
      <c r="A169" s="4"/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4"/>
    </row>
    <row r="170" spans="1:19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4" spans="1:19" x14ac:dyDescent="0.15">
      <c r="Q174" s="115"/>
    </row>
  </sheetData>
  <sheetProtection algorithmName="SHA-512" hashValue="bZ2xsW1MSCO26wdmkISh1833JHPz72Sp6VJE4XtY4pkjOuitZmQfmOUR0sWsQmAwLpv5bVQ0+qQ5X5mjN5DC8w==" saltValue="fo3cXCAzpcgNAGnxhcKudA==" spinCount="100000" sheet="1" objects="1" scenarios="1"/>
  <mergeCells count="45">
    <mergeCell ref="H106:I106"/>
    <mergeCell ref="Q107:R109"/>
    <mergeCell ref="B140:C146"/>
    <mergeCell ref="B148:C153"/>
    <mergeCell ref="L113:L114"/>
    <mergeCell ref="N116:N119"/>
    <mergeCell ref="O113:O114"/>
    <mergeCell ref="N113:N114"/>
    <mergeCell ref="H113:H114"/>
    <mergeCell ref="I113:I114"/>
    <mergeCell ref="H116:H119"/>
    <mergeCell ref="K116:K119"/>
    <mergeCell ref="K113:K114"/>
    <mergeCell ref="K111:L111"/>
    <mergeCell ref="N111:O111"/>
    <mergeCell ref="Q111:R111"/>
    <mergeCell ref="Q106:R106"/>
    <mergeCell ref="N106:O106"/>
    <mergeCell ref="K106:L106"/>
    <mergeCell ref="B21:C22"/>
    <mergeCell ref="P35:P37"/>
    <mergeCell ref="O35:O37"/>
    <mergeCell ref="N35:N37"/>
    <mergeCell ref="M35:M37"/>
    <mergeCell ref="L35:L37"/>
    <mergeCell ref="J35:K37"/>
    <mergeCell ref="B24:C25"/>
    <mergeCell ref="B27:C30"/>
    <mergeCell ref="B35:C40"/>
    <mergeCell ref="C167:R169"/>
    <mergeCell ref="B49:D53"/>
    <mergeCell ref="B58:C63"/>
    <mergeCell ref="B100:C106"/>
    <mergeCell ref="J102:Q103"/>
    <mergeCell ref="K94:N96"/>
    <mergeCell ref="K97:N98"/>
    <mergeCell ref="O65:P67"/>
    <mergeCell ref="O68:P69"/>
    <mergeCell ref="N83:P87"/>
    <mergeCell ref="I83:L86"/>
    <mergeCell ref="K92:N93"/>
    <mergeCell ref="H88:R89"/>
    <mergeCell ref="J105:Q105"/>
    <mergeCell ref="B66:C75"/>
    <mergeCell ref="H111:I111"/>
  </mergeCells>
  <phoneticPr fontId="8" type="noConversion"/>
  <conditionalFormatting sqref="I52:Q53">
    <cfRule type="expression" dxfId="1" priority="2">
      <formula>$M$26="Non"</formula>
    </cfRule>
  </conditionalFormatting>
  <conditionalFormatting sqref="H52:H53">
    <cfRule type="expression" dxfId="0" priority="1">
      <formula>$M$26="Non"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8536E5-8642-4BF0-8BEB-16AE90BAD3C0}">
          <x14:formula1>
            <xm:f>PARAM!$I$3:$I$4</xm:f>
          </x14:formula1>
          <xm:sqref>P24</xm:sqref>
        </x14:dataValidation>
        <x14:dataValidation type="list" allowBlank="1" showInputMessage="1" showErrorMessage="1" xr:uid="{70EBBE5A-CBE4-4FBB-A45F-81C2DD76D9AA}">
          <x14:formula1>
            <xm:f>PARAM!$K$3:$K$4</xm:f>
          </x14:formula1>
          <xm:sqref>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3DC8-F136-4D29-A5A8-15918F1D6A96}">
  <dimension ref="B1:AE47"/>
  <sheetViews>
    <sheetView showGridLines="0" topLeftCell="A10" workbookViewId="0">
      <selection activeCell="O30" sqref="O30"/>
    </sheetView>
  </sheetViews>
  <sheetFormatPr baseColWidth="10" defaultColWidth="11.5" defaultRowHeight="14" x14ac:dyDescent="0.15"/>
  <cols>
    <col min="1" max="1" width="3.5" style="7" customWidth="1"/>
    <col min="2" max="7" width="11.5" style="7"/>
    <col min="8" max="8" width="1.5" style="7" customWidth="1"/>
    <col min="9" max="9" width="11.5" style="7"/>
    <col min="10" max="10" width="4" style="7" customWidth="1"/>
    <col min="11" max="11" width="11.5" style="7"/>
    <col min="12" max="12" width="3.33203125" style="7" customWidth="1"/>
    <col min="13" max="13" width="11.5" style="7"/>
    <col min="14" max="14" width="3.33203125" style="7" customWidth="1"/>
    <col min="15" max="16384" width="11.5" style="7"/>
  </cols>
  <sheetData>
    <row r="1" spans="2:31" x14ac:dyDescent="0.15">
      <c r="D1" s="8"/>
      <c r="E1" s="8"/>
      <c r="F1" s="8"/>
      <c r="G1" s="8"/>
      <c r="T1" s="7" t="s">
        <v>53</v>
      </c>
      <c r="U1" s="7" t="s">
        <v>54</v>
      </c>
      <c r="X1" s="7">
        <v>70</v>
      </c>
      <c r="AB1" s="53" t="s">
        <v>46</v>
      </c>
      <c r="AC1" s="1"/>
      <c r="AD1" s="1"/>
      <c r="AE1" s="1"/>
    </row>
    <row r="2" spans="2:31" x14ac:dyDescent="0.15">
      <c r="D2" s="8"/>
      <c r="E2" s="8"/>
      <c r="F2" s="8"/>
      <c r="G2" s="8"/>
      <c r="I2" s="11" t="s">
        <v>0</v>
      </c>
      <c r="K2" s="11" t="s">
        <v>5</v>
      </c>
      <c r="M2" s="11" t="s">
        <v>22</v>
      </c>
      <c r="O2" s="11" t="s">
        <v>3</v>
      </c>
      <c r="T2" s="7" t="s">
        <v>55</v>
      </c>
      <c r="U2" s="72">
        <f>IF(U9/M13&gt;1,1,U9/M13)</f>
        <v>0.41095890410958902</v>
      </c>
      <c r="W2" s="7" t="s">
        <v>56</v>
      </c>
      <c r="X2" s="7">
        <v>20</v>
      </c>
      <c r="AB2" s="1"/>
      <c r="AC2" s="1"/>
      <c r="AD2" s="1"/>
      <c r="AE2" s="1"/>
    </row>
    <row r="3" spans="2:31" x14ac:dyDescent="0.15">
      <c r="B3" s="9"/>
      <c r="D3" s="8"/>
      <c r="E3" s="8"/>
      <c r="F3" s="8"/>
      <c r="G3" s="8"/>
      <c r="I3" s="12" t="s">
        <v>94</v>
      </c>
      <c r="K3" s="12" t="s">
        <v>6</v>
      </c>
      <c r="M3" s="18">
        <v>0.2</v>
      </c>
      <c r="P3" s="7" t="s">
        <v>1</v>
      </c>
      <c r="Q3" s="7" t="s">
        <v>2</v>
      </c>
      <c r="R3" s="7" t="s">
        <v>41</v>
      </c>
      <c r="T3" s="7" t="s">
        <v>52</v>
      </c>
      <c r="U3" s="72">
        <f>IF(U9/M17&gt;1,1,U9/M17)</f>
        <v>0.20661157024793389</v>
      </c>
      <c r="W3" s="7" t="s">
        <v>57</v>
      </c>
      <c r="X3" s="7">
        <v>10</v>
      </c>
      <c r="AB3" s="1"/>
      <c r="AC3" s="1"/>
      <c r="AD3" s="1"/>
      <c r="AE3" s="1"/>
    </row>
    <row r="4" spans="2:31" x14ac:dyDescent="0.15">
      <c r="D4" s="8"/>
      <c r="E4" s="8"/>
      <c r="F4" s="8"/>
      <c r="G4" s="8"/>
      <c r="I4" s="13" t="s">
        <v>2</v>
      </c>
      <c r="K4" s="13" t="s">
        <v>7</v>
      </c>
      <c r="O4" s="43">
        <v>1</v>
      </c>
      <c r="P4" s="44">
        <v>0.32</v>
      </c>
      <c r="Q4" s="44">
        <v>0.18</v>
      </c>
      <c r="R4" s="45">
        <v>90</v>
      </c>
      <c r="W4" s="7" t="s">
        <v>58</v>
      </c>
      <c r="X4" s="7">
        <v>100</v>
      </c>
      <c r="AB4" s="1"/>
      <c r="AC4" s="54">
        <v>0.18</v>
      </c>
      <c r="AD4" s="54">
        <v>0.14000000000000001</v>
      </c>
      <c r="AE4" s="54">
        <v>0.1</v>
      </c>
    </row>
    <row r="5" spans="2:31" x14ac:dyDescent="0.15">
      <c r="B5" s="8"/>
      <c r="D5" s="8"/>
      <c r="E5" s="8"/>
      <c r="F5" s="8"/>
      <c r="G5" s="8"/>
      <c r="M5" s="11" t="s">
        <v>34</v>
      </c>
      <c r="O5" s="46">
        <v>2</v>
      </c>
      <c r="P5" s="47">
        <v>0.28000000000000003</v>
      </c>
      <c r="Q5" s="47">
        <v>0.14000000000000001</v>
      </c>
      <c r="R5" s="48">
        <v>420</v>
      </c>
      <c r="AB5" s="52">
        <v>1000</v>
      </c>
      <c r="AC5" s="55">
        <f t="shared" ref="AC5:AC37" si="0">$AB5*AC$4+90</f>
        <v>270</v>
      </c>
      <c r="AD5" s="56">
        <f t="shared" ref="AD5:AD37" si="1">$AB5*AD$4+420</f>
        <v>560</v>
      </c>
      <c r="AE5" s="57">
        <f t="shared" ref="AE5:AE37" si="2">$AB5*AE$4+1500</f>
        <v>1600</v>
      </c>
    </row>
    <row r="6" spans="2:31" x14ac:dyDescent="0.15">
      <c r="D6" s="8"/>
      <c r="E6" s="8"/>
      <c r="F6" s="8"/>
      <c r="G6" s="8"/>
      <c r="M6" s="29">
        <v>12</v>
      </c>
      <c r="O6" s="49">
        <v>3</v>
      </c>
      <c r="P6" s="50">
        <v>0.25</v>
      </c>
      <c r="Q6" s="50">
        <v>0.1</v>
      </c>
      <c r="R6" s="51">
        <v>1500</v>
      </c>
      <c r="AB6" s="52">
        <v>2000</v>
      </c>
      <c r="AC6" s="58">
        <f t="shared" si="0"/>
        <v>450</v>
      </c>
      <c r="AD6" s="59">
        <f t="shared" si="1"/>
        <v>700</v>
      </c>
      <c r="AE6" s="60">
        <f t="shared" si="2"/>
        <v>1700</v>
      </c>
    </row>
    <row r="7" spans="2:31" x14ac:dyDescent="0.15">
      <c r="B7" s="10"/>
      <c r="W7" s="7" t="s">
        <v>59</v>
      </c>
      <c r="X7" s="7">
        <f>U2*100</f>
        <v>41.095890410958901</v>
      </c>
      <c r="Y7" s="70">
        <f>U3*100</f>
        <v>20.66115702479339</v>
      </c>
      <c r="AB7" s="52">
        <v>3000</v>
      </c>
      <c r="AC7" s="58">
        <f t="shared" si="0"/>
        <v>630</v>
      </c>
      <c r="AD7" s="59">
        <f t="shared" si="1"/>
        <v>840</v>
      </c>
      <c r="AE7" s="60">
        <f t="shared" si="2"/>
        <v>1800</v>
      </c>
    </row>
    <row r="8" spans="2:31" x14ac:dyDescent="0.15">
      <c r="M8" s="11" t="s">
        <v>35</v>
      </c>
      <c r="W8" s="7" t="s">
        <v>60</v>
      </c>
      <c r="X8" s="7">
        <v>2</v>
      </c>
      <c r="Y8" s="7">
        <v>2</v>
      </c>
      <c r="AB8" s="52">
        <v>4000</v>
      </c>
      <c r="AC8" s="58">
        <f t="shared" si="0"/>
        <v>810</v>
      </c>
      <c r="AD8" s="59">
        <f t="shared" si="1"/>
        <v>980</v>
      </c>
      <c r="AE8" s="60">
        <f t="shared" si="2"/>
        <v>1900</v>
      </c>
    </row>
    <row r="9" spans="2:31" x14ac:dyDescent="0.15">
      <c r="M9" s="29">
        <v>8</v>
      </c>
      <c r="T9" s="7" t="s">
        <v>52</v>
      </c>
      <c r="U9" s="7">
        <f>Simulateur!O28+Simulateur!Q51</f>
        <v>15000</v>
      </c>
      <c r="W9" s="7" t="s">
        <v>61</v>
      </c>
      <c r="X9" s="7">
        <f>200-X8-X7</f>
        <v>156.9041095890411</v>
      </c>
      <c r="Y9" s="70">
        <f>200-Y8-Y7</f>
        <v>177.3388429752066</v>
      </c>
      <c r="AB9" s="52">
        <v>5000</v>
      </c>
      <c r="AC9" s="58">
        <f t="shared" si="0"/>
        <v>990</v>
      </c>
      <c r="AD9" s="59">
        <f t="shared" si="1"/>
        <v>1120</v>
      </c>
      <c r="AE9" s="60">
        <f t="shared" si="2"/>
        <v>2000</v>
      </c>
    </row>
    <row r="10" spans="2:31" x14ac:dyDescent="0.15">
      <c r="AB10" s="52">
        <v>6000</v>
      </c>
      <c r="AC10" s="58">
        <f t="shared" si="0"/>
        <v>1170</v>
      </c>
      <c r="AD10" s="59">
        <f t="shared" si="1"/>
        <v>1260</v>
      </c>
      <c r="AE10" s="60">
        <f t="shared" si="2"/>
        <v>2100</v>
      </c>
    </row>
    <row r="11" spans="2:31" x14ac:dyDescent="0.15">
      <c r="AB11" s="52">
        <v>7000</v>
      </c>
      <c r="AC11" s="58">
        <f t="shared" si="0"/>
        <v>1350</v>
      </c>
      <c r="AD11" s="59">
        <f t="shared" si="1"/>
        <v>1400</v>
      </c>
      <c r="AE11" s="60">
        <f t="shared" si="2"/>
        <v>2200</v>
      </c>
    </row>
    <row r="12" spans="2:31" x14ac:dyDescent="0.15">
      <c r="M12" s="7" t="s">
        <v>43</v>
      </c>
      <c r="AB12" s="52">
        <v>8000</v>
      </c>
      <c r="AC12" s="58">
        <f t="shared" si="0"/>
        <v>1530</v>
      </c>
      <c r="AD12" s="59">
        <f t="shared" si="1"/>
        <v>1540</v>
      </c>
      <c r="AE12" s="60">
        <f t="shared" si="2"/>
        <v>2300</v>
      </c>
    </row>
    <row r="13" spans="2:31" x14ac:dyDescent="0.15">
      <c r="M13" s="29">
        <v>36500</v>
      </c>
      <c r="AB13" s="52">
        <v>8500</v>
      </c>
      <c r="AC13" s="58">
        <f t="shared" si="0"/>
        <v>1620</v>
      </c>
      <c r="AD13" s="61">
        <f t="shared" si="1"/>
        <v>1610</v>
      </c>
      <c r="AE13" s="60">
        <f t="shared" si="2"/>
        <v>2350</v>
      </c>
    </row>
    <row r="14" spans="2:31" x14ac:dyDescent="0.15">
      <c r="AB14" s="52">
        <v>9000</v>
      </c>
      <c r="AC14" s="62">
        <f t="shared" si="0"/>
        <v>1710</v>
      </c>
      <c r="AD14" s="61">
        <f t="shared" si="1"/>
        <v>1680.0000000000002</v>
      </c>
      <c r="AE14" s="60">
        <f t="shared" si="2"/>
        <v>2400</v>
      </c>
    </row>
    <row r="15" spans="2:31" x14ac:dyDescent="0.15">
      <c r="AB15" s="52">
        <v>11000</v>
      </c>
      <c r="AC15" s="62">
        <f t="shared" si="0"/>
        <v>2070</v>
      </c>
      <c r="AD15" s="61">
        <f t="shared" si="1"/>
        <v>1960.0000000000002</v>
      </c>
      <c r="AE15" s="60">
        <f t="shared" si="2"/>
        <v>2600</v>
      </c>
    </row>
    <row r="16" spans="2:31" x14ac:dyDescent="0.15">
      <c r="M16" s="7" t="s">
        <v>44</v>
      </c>
      <c r="AB16" s="52">
        <v>12000</v>
      </c>
      <c r="AC16" s="62">
        <f t="shared" si="0"/>
        <v>2250</v>
      </c>
      <c r="AD16" s="61">
        <f t="shared" si="1"/>
        <v>2100</v>
      </c>
      <c r="AE16" s="60">
        <f t="shared" si="2"/>
        <v>2700</v>
      </c>
    </row>
    <row r="17" spans="11:31" x14ac:dyDescent="0.15">
      <c r="M17" s="29">
        <v>72600</v>
      </c>
      <c r="AB17" s="52">
        <v>13000</v>
      </c>
      <c r="AC17" s="62">
        <f t="shared" si="0"/>
        <v>2430</v>
      </c>
      <c r="AD17" s="61">
        <f t="shared" si="1"/>
        <v>2240</v>
      </c>
      <c r="AE17" s="60">
        <f t="shared" si="2"/>
        <v>2800</v>
      </c>
    </row>
    <row r="18" spans="11:31" x14ac:dyDescent="0.15">
      <c r="AB18" s="52">
        <v>14000</v>
      </c>
      <c r="AC18" s="62">
        <f t="shared" si="0"/>
        <v>2610</v>
      </c>
      <c r="AD18" s="61">
        <f t="shared" si="1"/>
        <v>2380</v>
      </c>
      <c r="AE18" s="60">
        <f t="shared" si="2"/>
        <v>2900</v>
      </c>
    </row>
    <row r="19" spans="11:31" x14ac:dyDescent="0.15">
      <c r="M19" s="7" t="s">
        <v>78</v>
      </c>
      <c r="AB19" s="52">
        <v>15000</v>
      </c>
      <c r="AC19" s="62">
        <f t="shared" si="0"/>
        <v>2790</v>
      </c>
      <c r="AD19" s="61">
        <f t="shared" si="1"/>
        <v>2520</v>
      </c>
      <c r="AE19" s="60">
        <f t="shared" si="2"/>
        <v>3000</v>
      </c>
    </row>
    <row r="20" spans="11:31" x14ac:dyDescent="0.15">
      <c r="M20" s="29">
        <v>50000</v>
      </c>
      <c r="AB20" s="52">
        <v>16000</v>
      </c>
      <c r="AC20" s="62">
        <f t="shared" si="0"/>
        <v>2970</v>
      </c>
      <c r="AD20" s="61">
        <f t="shared" si="1"/>
        <v>2660</v>
      </c>
      <c r="AE20" s="60">
        <f t="shared" si="2"/>
        <v>3100</v>
      </c>
    </row>
    <row r="21" spans="11:31" x14ac:dyDescent="0.15">
      <c r="AB21" s="52">
        <v>17000</v>
      </c>
      <c r="AC21" s="62">
        <f t="shared" si="0"/>
        <v>3150</v>
      </c>
      <c r="AD21" s="61">
        <f t="shared" si="1"/>
        <v>2800</v>
      </c>
      <c r="AE21" s="60">
        <f t="shared" si="2"/>
        <v>3200</v>
      </c>
    </row>
    <row r="22" spans="11:31" x14ac:dyDescent="0.15">
      <c r="AB22" s="52">
        <v>18000</v>
      </c>
      <c r="AC22" s="62">
        <f t="shared" si="0"/>
        <v>3330</v>
      </c>
      <c r="AD22" s="61">
        <f t="shared" si="1"/>
        <v>2940.0000000000005</v>
      </c>
      <c r="AE22" s="60">
        <f t="shared" si="2"/>
        <v>3300</v>
      </c>
    </row>
    <row r="23" spans="11:31" x14ac:dyDescent="0.15">
      <c r="M23" s="7" t="s">
        <v>74</v>
      </c>
      <c r="AB23" s="52">
        <v>19000</v>
      </c>
      <c r="AC23" s="62">
        <f t="shared" si="0"/>
        <v>3510</v>
      </c>
      <c r="AD23" s="61">
        <f t="shared" si="1"/>
        <v>3080.0000000000005</v>
      </c>
      <c r="AE23" s="60">
        <f t="shared" si="2"/>
        <v>3400</v>
      </c>
    </row>
    <row r="24" spans="11:31" x14ac:dyDescent="0.15">
      <c r="K24" s="7">
        <f>IF(M38&gt;M20,0,IF(M24=$M$29,1,0))</f>
        <v>0</v>
      </c>
      <c r="M24" s="70">
        <f>Simulateur!I122</f>
        <v>3348</v>
      </c>
      <c r="O24" s="7" t="s">
        <v>110</v>
      </c>
      <c r="AB24" s="52">
        <v>20000</v>
      </c>
      <c r="AC24" s="62">
        <f t="shared" si="0"/>
        <v>3690</v>
      </c>
      <c r="AD24" s="61">
        <f t="shared" si="1"/>
        <v>3220.0000000000005</v>
      </c>
      <c r="AE24" s="60">
        <f t="shared" si="2"/>
        <v>3500</v>
      </c>
    </row>
    <row r="25" spans="11:31" x14ac:dyDescent="0.15">
      <c r="K25" s="7">
        <f>IF(M38&gt;M20,0,IF(M25=$M$29,1,0))</f>
        <v>1</v>
      </c>
      <c r="M25" s="70">
        <f>Simulateur!L122</f>
        <v>3024</v>
      </c>
      <c r="O25" s="7" t="s">
        <v>111</v>
      </c>
      <c r="AB25" s="52">
        <v>21000</v>
      </c>
      <c r="AC25" s="62">
        <f t="shared" si="0"/>
        <v>3870</v>
      </c>
      <c r="AD25" s="61">
        <f t="shared" si="1"/>
        <v>3360.0000000000005</v>
      </c>
      <c r="AE25" s="60">
        <f t="shared" si="2"/>
        <v>3600</v>
      </c>
    </row>
    <row r="26" spans="11:31" x14ac:dyDescent="0.15">
      <c r="K26" s="7">
        <f>IF(M38&gt;M20,0,IF(M26=$M$29,1,0))</f>
        <v>0</v>
      </c>
      <c r="M26" s="70">
        <f>Simulateur!O122</f>
        <v>3600</v>
      </c>
      <c r="O26" s="7" t="s">
        <v>112</v>
      </c>
      <c r="AB26" s="52">
        <v>22000</v>
      </c>
      <c r="AC26" s="62">
        <f t="shared" si="0"/>
        <v>4050</v>
      </c>
      <c r="AD26" s="61">
        <f t="shared" si="1"/>
        <v>3500.0000000000005</v>
      </c>
      <c r="AE26" s="60">
        <f t="shared" si="2"/>
        <v>3700</v>
      </c>
    </row>
    <row r="27" spans="11:31" x14ac:dyDescent="0.15">
      <c r="K27" s="7">
        <f>IF(M38&gt;M20,1,IF(M27=$M$29,1,0))</f>
        <v>0</v>
      </c>
      <c r="M27" s="70">
        <f>AVERAGE(Simulateur!R122:R123)</f>
        <v>21022.6</v>
      </c>
      <c r="O27" s="7" t="s">
        <v>113</v>
      </c>
      <c r="AB27" s="52">
        <v>23000</v>
      </c>
      <c r="AC27" s="62">
        <f t="shared" si="0"/>
        <v>4230</v>
      </c>
      <c r="AD27" s="61">
        <f t="shared" si="1"/>
        <v>3640.0000000000005</v>
      </c>
      <c r="AE27" s="60">
        <f t="shared" si="2"/>
        <v>3800</v>
      </c>
    </row>
    <row r="28" spans="11:31" x14ac:dyDescent="0.15">
      <c r="M28" s="70"/>
      <c r="AB28" s="52">
        <v>24000</v>
      </c>
      <c r="AC28" s="62">
        <f t="shared" si="0"/>
        <v>4410</v>
      </c>
      <c r="AD28" s="61">
        <f t="shared" si="1"/>
        <v>3780.0000000000005</v>
      </c>
      <c r="AE28" s="60">
        <f t="shared" si="2"/>
        <v>3900</v>
      </c>
    </row>
    <row r="29" spans="11:31" x14ac:dyDescent="0.15">
      <c r="M29" s="70">
        <f>MIN(M24:M27)</f>
        <v>3024</v>
      </c>
      <c r="AB29" s="52">
        <v>25000</v>
      </c>
      <c r="AC29" s="62">
        <f t="shared" si="0"/>
        <v>4590</v>
      </c>
      <c r="AD29" s="61">
        <f t="shared" si="1"/>
        <v>3920.0000000000005</v>
      </c>
      <c r="AE29" s="60">
        <f t="shared" si="2"/>
        <v>4000</v>
      </c>
    </row>
    <row r="30" spans="11:31" x14ac:dyDescent="0.15">
      <c r="K30" s="7" t="s">
        <v>116</v>
      </c>
      <c r="O30" s="114">
        <f>INDEX(M24:M27,MATCH(1,K24:K27,),1)</f>
        <v>3024</v>
      </c>
      <c r="AB30" s="52">
        <v>26000</v>
      </c>
      <c r="AC30" s="62">
        <f t="shared" si="0"/>
        <v>4770</v>
      </c>
      <c r="AD30" s="61">
        <f t="shared" si="1"/>
        <v>4060.0000000000005</v>
      </c>
      <c r="AE30" s="60">
        <f t="shared" si="2"/>
        <v>4100</v>
      </c>
    </row>
    <row r="31" spans="11:31" x14ac:dyDescent="0.15">
      <c r="AB31" s="52"/>
      <c r="AC31" s="62"/>
      <c r="AD31" s="61"/>
      <c r="AE31" s="60"/>
    </row>
    <row r="32" spans="11:31" x14ac:dyDescent="0.15">
      <c r="K32" s="7" t="s">
        <v>79</v>
      </c>
      <c r="AB32" s="52">
        <v>27000</v>
      </c>
      <c r="AC32" s="62">
        <f t="shared" si="0"/>
        <v>4950</v>
      </c>
      <c r="AD32" s="61">
        <f t="shared" si="1"/>
        <v>4200</v>
      </c>
      <c r="AE32" s="63">
        <f t="shared" si="2"/>
        <v>4200</v>
      </c>
    </row>
    <row r="33" spans="11:31" x14ac:dyDescent="0.15">
      <c r="K33" s="7" t="str">
        <f>"Votre chiffre d'affaires de formation est supérieur à "&amp;TEXT(M20,"# ##0")&amp;"€. Il pourrait être pertinent pour vous d'obtenir votre propre certification Qualiopi et devenir organisme de formation."</f>
        <v>Votre chiffre d'affaires de formation est supérieur à 50 000€. Il pourrait être pertinent pour vous d'obtenir votre propre certification Qualiopi et devenir organisme de formation.</v>
      </c>
      <c r="AB33" s="52">
        <v>28000</v>
      </c>
      <c r="AC33" s="62">
        <f t="shared" si="0"/>
        <v>5130</v>
      </c>
      <c r="AD33" s="59">
        <f t="shared" si="1"/>
        <v>4340</v>
      </c>
      <c r="AE33" s="63">
        <f t="shared" si="2"/>
        <v>4300</v>
      </c>
    </row>
    <row r="34" spans="11:31" x14ac:dyDescent="0.15">
      <c r="K34" s="7" t="s">
        <v>87</v>
      </c>
      <c r="AB34" s="52">
        <v>29000</v>
      </c>
      <c r="AC34" s="62">
        <f t="shared" si="0"/>
        <v>5310</v>
      </c>
      <c r="AD34" s="59">
        <f t="shared" si="1"/>
        <v>4480</v>
      </c>
      <c r="AE34" s="63">
        <f t="shared" si="2"/>
        <v>4400</v>
      </c>
    </row>
    <row r="35" spans="11:31" x14ac:dyDescent="0.15">
      <c r="K35" s="7" t="str">
        <f>TEXT(AVERAGE(Simulateur!Q118:R118),"# ##0")&amp;" jours par an ce qui représente "&amp;TEXT(AVERAGE(Simulateur!Q118:R118)/220,"# ##0,0")&amp;" ETP/an."</f>
        <v xml:space="preserve"> 26 jours par an ce qui représente  0,1 ETP/an.</v>
      </c>
      <c r="AB35" s="52">
        <v>30000</v>
      </c>
      <c r="AC35" s="62">
        <f t="shared" si="0"/>
        <v>5490</v>
      </c>
      <c r="AD35" s="59">
        <f t="shared" si="1"/>
        <v>4620</v>
      </c>
      <c r="AE35" s="63">
        <f t="shared" si="2"/>
        <v>4500</v>
      </c>
    </row>
    <row r="36" spans="11:31" x14ac:dyDescent="0.15">
      <c r="AB36" s="52">
        <v>31000</v>
      </c>
      <c r="AC36" s="62">
        <f t="shared" si="0"/>
        <v>5670</v>
      </c>
      <c r="AD36" s="59">
        <f t="shared" si="1"/>
        <v>4760</v>
      </c>
      <c r="AE36" s="63">
        <f t="shared" si="2"/>
        <v>4600</v>
      </c>
    </row>
    <row r="37" spans="11:31" x14ac:dyDescent="0.15">
      <c r="M37" s="7" t="s">
        <v>80</v>
      </c>
      <c r="AB37" s="52">
        <v>32000</v>
      </c>
      <c r="AC37" s="64">
        <f t="shared" si="0"/>
        <v>5850</v>
      </c>
      <c r="AD37" s="65">
        <f t="shared" si="1"/>
        <v>4900</v>
      </c>
      <c r="AE37" s="66">
        <f t="shared" si="2"/>
        <v>4700</v>
      </c>
    </row>
    <row r="38" spans="11:31" x14ac:dyDescent="0.15">
      <c r="M38" s="70">
        <f>Simulateur!Q51</f>
        <v>15000</v>
      </c>
    </row>
    <row r="45" spans="11:31" x14ac:dyDescent="0.15">
      <c r="M45" s="1"/>
    </row>
    <row r="46" spans="11:31" x14ac:dyDescent="0.15">
      <c r="M46" s="1"/>
    </row>
    <row r="47" spans="11:31" x14ac:dyDescent="0.15">
      <c r="M4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</vt:lpstr>
      <vt:lpstr>PARAM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Brugger</dc:creator>
  <cp:lastModifiedBy>Microsoft Office User</cp:lastModifiedBy>
  <cp:lastPrinted>2021-04-29T12:40:47Z</cp:lastPrinted>
  <dcterms:created xsi:type="dcterms:W3CDTF">2021-04-28T16:03:32Z</dcterms:created>
  <dcterms:modified xsi:type="dcterms:W3CDTF">2022-10-12T10:40:26Z</dcterms:modified>
</cp:coreProperties>
</file>